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<sst xmlns="http://schemas.openxmlformats.org/spreadsheetml/2006/main" count="674" uniqueCount="464">
  <si>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</si>
  <si>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</si>
  <si>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</si>
  <si>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</si>
  <si>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</si>
  <si>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</si>
  <si>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</si>
  <si>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</si>
  <si>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</si>
  <si>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</si>
  <si>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</si>
  <si>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</si>
  <si>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</si>
  <si>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</si>
  <si>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</si>
  <si>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</si>
  <si>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</si>
  <si>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</si>
  <si>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</si>
  <si>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</si>
  <si>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</si>
  <si>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</si>
  <si>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</si>
  <si>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</si>
  <si>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</si>
  <si>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</si>
  <si>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</si>
  <si>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</si>
  <si>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</si>
  <si>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</si>
  <si>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</si>
  <si>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</si>
  <si>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</si>
  <si>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</si>
  <si>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</si>
  <si>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</si>
  <si>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</si>
  <si>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</si>
  <si>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</si>
  <si>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</si>
  <si>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</si>
  <si>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</si>
  <si>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</si>
  <si>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</si>
  <si>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</si>
  <si>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</si>
  <si>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</si>
  <si>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</si>
  <si>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</si>
  <si>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</si>
  <si>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</si>
  <si>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</si>
  <si>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</si>
  <si>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</si>
  <si>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</si>
  <si>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</si>
  <si>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</si>
  <si>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</si>
  <si>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</si>
  <si>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</si>
  <si>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</si>
  <si>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</si>
  <si>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</si>
  <si>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</si>
  <si>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</si>
  <si>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</si>
  <si>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</si>
  <si>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</si>
  <si>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</si>
  <si>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</si>
  <si>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</si>
  <si>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</si>
  <si>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</si>
  <si>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</si>
  <si>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</si>
  <si>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</si>
  <si>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</si>
  <si>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</si>
  <si>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</si>
  <si>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</si>
  <si>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</si>
  <si>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</si>
  <si>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</si>
  <si>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</si>
  <si>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</si>
  <si>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</si>
  <si>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</si>
  <si>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</si>
  <si>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</si>
  <si>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</si>
  <si>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</si>
  <si>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</si>
  <si>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</si>
  <si>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</si>
  <si>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</si>
  <si>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</si>
  <si>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</si>
  <si>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</si>
  <si>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</si>
  <si>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</si>
  <si>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</si>
  <si>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</si>
  <si>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</si>
  <si>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</si>
  <si>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</si>
  <si>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</si>
  <si>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</si>
  <si>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</si>
  <si>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</si>
  <si>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</si>
  <si>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</si>
  <si>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</si>
  <si>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</si>
  <si>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</si>
  <si>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</si>
  <si>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</si>
  <si>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</si>
  <si>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</si>
  <si>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</si>
  <si>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</si>
  <si>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</si>
  <si>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</si>
  <si>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</si>
  <si>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</si>
  <si>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</si>
  <si>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</si>
  <si>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</si>
  <si>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</si>
  <si>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</si>
  <si>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</si>
  <si>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</si>
  <si>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</si>
  <si>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</si>
  <si>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</si>
  <si>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</si>
  <si>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</si>
  <si>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</si>
  <si>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</si>
  <si>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</si>
  <si>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</si>
  <si>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</si>
  <si>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</si>
  <si>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</si>
  <si>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</si>
  <si>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</si>
  <si>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</si>
  <si>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</si>
  <si>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</si>
  <si>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</si>
  <si>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</si>
  <si>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</si>
  <si>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</si>
  <si>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</si>
  <si>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</si>
  <si>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</si>
  <si>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</si>
  <si>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</si>
  <si>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</si>
  <si>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</si>
  <si>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</si>
  <si>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</si>
  <si>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</si>
  <si>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</si>
  <si>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</si>
  <si>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</si>
  <si>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</si>
  <si>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</si>
  <si>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</si>
  <si>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</si>
  <si>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</si>
  <si>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</si>
  <si>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</si>
  <si>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</si>
  <si>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</si>
  <si>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</si>
  <si>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</si>
  <si>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</si>
  <si>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</si>
  <si>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</si>
  <si>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</si>
  <si>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</si>
  <si>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</si>
  <si>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</si>
  <si>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</si>
  <si>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</si>
  <si>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</si>
  <si>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</si>
  <si>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</si>
  <si>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</si>
  <si>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</si>
  <si>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</si>
  <si>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</si>
  <si>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</si>
  <si>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</si>
  <si>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</si>
  <si>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</si>
  <si>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</si>
  <si>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</si>
  <si>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</si>
  <si>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</si>
  <si>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</si>
  <si>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</si>
  <si>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</si>
  <si>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</si>
  <si>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</si>
  <si>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</si>
  <si>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</si>
  <si>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</si>
  <si>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</si>
  <si>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</si>
  <si>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</si>
  <si>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</si>
  <si>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</si>
  <si>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</si>
  <si>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</si>
  <si>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</si>
  <si>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</si>
  <si>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</si>
  <si>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</si>
  <si>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</si>
  <si>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</si>
  <si>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</si>
  <si>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</si>
  <si>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</si>
  <si>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</si>
  <si>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</si>
  <si>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</si>
  <si>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</si>
  <si>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</si>
  <si>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</si>
  <si>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</si>
  <si>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</si>
  <si>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</si>
  <si>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</si>
  <si>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</si>
  <si>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</si>
  <si>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</si>
  <si>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</si>
  <si>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</si>
  <si>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</si>
  <si>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</si>
  <si>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</si>
  <si>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</si>
  <si>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</si>
  <si>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</si>
  <si>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</si>
  <si>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</si>
  <si>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</si>
  <si>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</si>
  <si>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</si>
  <si>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</si>
  <si>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</si>
  <si>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</si>
  <si>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</si>
  <si>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</si>
  <si>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</si>
  <si>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</si>
  <si>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</si>
  <si>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</si>
  <si>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</si>
  <si>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</si>
  <si>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</si>
  <si>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</si>
  <si>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</si>
  <si>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</si>
  <si>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</si>
  <si>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</si>
  <si>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</si>
  <si>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</si>
  <si>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</si>
  <si>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</si>
  <si>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</si>
  <si>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</si>
  <si>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</si>
  <si>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</si>
  <si>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</si>
  <si>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</si>
  <si>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</si>
  <si>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</si>
  <si>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</si>
  <si>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</si>
  <si>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</si>
  <si>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</si>
  <si>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</si>
  <si>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</si>
  <si>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</si>
  <si>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</si>
  <si>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</si>
  <si>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</si>
  <si>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</si>
  <si>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</si>
  <si>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</si>
  <si>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</si>
  <si>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</si>
  <si>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</si>
  <si>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</si>
  <si>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</si>
  <si>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</si>
  <si>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</si>
  <si>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</si>
  <si>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</si>
  <si>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</si>
  <si>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</si>
  <si>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</si>
  <si>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</si>
  <si>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</si>
  <si>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</si>
  <si>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</si>
  <si>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</si>
  <si>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</si>
  <si>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</si>
  <si>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</si>
  <si>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</si>
  <si>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</si>
  <si>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</si>
  <si>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</si>
  <si>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</si>
  <si>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</si>
  <si>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</si>
  <si>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</si>
  <si>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</si>
  <si>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</si>
  <si>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</si>
  <si>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</si>
  <si>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</si>
  <si>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</si>
  <si>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</si>
  <si>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</si>
  <si>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</si>
  <si>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</si>
  <si>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</si>
  <si>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</si>
  <si>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</si>
  <si>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</si>
  <si>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</si>
  <si>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</si>
  <si>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</si>
  <si>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</si>
  <si>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</si>
  <si>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</si>
  <si>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</si>
  <si>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</si>
  <si>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</si>
  <si>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</si>
  <si>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</si>
  <si>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</si>
  <si>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</si>
  <si>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</si>
  <si>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</si>
  <si>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</si>
  <si>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</si>
  <si>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</si>
  <si>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</si>
  <si>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</si>
  <si>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</si>
  <si>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</si>
  <si>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</si>
  <si>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</si>
  <si>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</si>
  <si>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</si>
  <si>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</si>
  <si>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</si>
  <si>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</si>
  <si>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</si>
  <si>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</si>
  <si>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</si>
  <si>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</si>
  <si>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</si>
  <si>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</si>
  <si>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</si>
  <si>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</si>
  <si>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</si>
  <si>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</si>
  <si>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</si>
  <si>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</si>
  <si>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</si>
  <si>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</si>
  <si>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</si>
  <si>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</si>
  <si>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</si>
  <si>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</si>
  <si>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</si>
  <si>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</si>
  <si>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</si>
  <si>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</si>
  <si>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</si>
  <si>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</si>
  <si>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</si>
  <si>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</si>
  <si>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</si>
  <si>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</si>
  <si>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</si>
  <si>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</si>
  <si>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</si>
  <si>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</si>
  <si>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</si>
  <si>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</si>
  <si>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</si>
  <si>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</si>
  <si>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</si>
  <si>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</si>
  <si>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</si>
  <si>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</si>
  <si>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</si>
  <si>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</si>
  <si>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</si>
  <si>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</si>
  <si>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</si>
  <si>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</si>
  <si>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</si>
  <si>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</si>
  <si>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</si>
  <si>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</si>
  <si>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</si>
  <si>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</si>
  <si>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</si>
  <si>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</si>
  <si>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</si>
  <si>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</si>
  <si>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</si>
  <si>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</si>
  <si>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</si>
  <si>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</si>
  <si>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</si>
  <si>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</si>
  <si>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</si>
  <si>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</si>
  <si>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</si>
  <si>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</si>
  <si>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</si>
  <si>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</si>
  <si>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</si>
  <si>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</si>
  <si>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</si>
  <si>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</si>
  <si>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</si>
  <si>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</si>
  <si>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</si>
  <si>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</si>
  <si>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</si>
  <si>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</si>
  <si>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</si>
  <si>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</si>
  <si>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</si>
  <si>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</si>
  <si>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</si>
  <si>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</si>
  <si>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</si>
  <si>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</si>
  <si>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</si>
  <si>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</si>
  <si>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</si>
  <si>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</si>
  <si>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</si>
  <si>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</si>
  <si>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</si>
  <si>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</si>
  <si>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</si>
  <si>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</si>
  <si>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</si>
  <si>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</si>
  <si>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</si>
  <si>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Ваня Борисова</t>
  </si>
  <si>
    <t>Димитър Недялков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</si>
</sst>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4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32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8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179" fontId="24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200" fontId="69" fillId="33" borderId="0" xfId="57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207" fontId="191" fillId="32" borderId="0" xfId="0" applyNumberFormat="1" applyFont="1" applyFill="1" applyAlignment="1" applyProtection="1">
      <alignment horizontal="center"/>
      <protection/>
    </xf>
    <xf numFmtId="207" fontId="191" fillId="54" borderId="0" xfId="0" applyNumberFormat="1" applyFont="1" applyFill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 locked="0"/>
    </xf>
    <xf numFmtId="186" fontId="19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3" fillId="33" borderId="61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4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5" fontId="160" fillId="33" borderId="28" xfId="60" applyNumberFormat="1" applyFont="1" applyFill="1" applyBorder="1" applyAlignment="1" applyProtection="1">
      <alignment horizontal="center"/>
      <protection/>
    </xf>
    <xf numFmtId="185" fontId="160" fillId="33" borderId="43" xfId="60" applyNumberFormat="1" applyFont="1" applyFill="1" applyBorder="1" applyAlignment="1" applyProtection="1">
      <alignment horizontal="center"/>
      <protection/>
    </xf>
    <xf numFmtId="185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6" fontId="200" fillId="48" borderId="43" xfId="65" applyNumberFormat="1" applyFont="1" applyFill="1" applyBorder="1" applyAlignment="1" applyProtection="1">
      <alignment horizontal="left"/>
      <protection/>
    </xf>
    <xf numFmtId="206" fontId="20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1" fillId="33" borderId="47" xfId="65" applyNumberFormat="1" applyFont="1" applyFill="1" applyBorder="1" applyAlignment="1" applyProtection="1">
      <alignment horizontal="center"/>
      <protection/>
    </xf>
    <xf numFmtId="38" fontId="20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3" fillId="33" borderId="116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8" fontId="202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/>
    </xf>
    <xf numFmtId="186" fontId="19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3" fillId="36" borderId="28" xfId="53" applyFont="1" applyFill="1" applyBorder="1" applyAlignment="1" applyProtection="1">
      <alignment horizontal="center" vertical="center"/>
      <protection/>
    </xf>
    <xf numFmtId="0" fontId="203" fillId="36" borderId="43" xfId="53" applyFont="1" applyFill="1" applyBorder="1" applyAlignment="1" applyProtection="1">
      <alignment horizontal="center" vertical="center"/>
      <protection/>
    </xf>
    <xf numFmtId="0" fontId="203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8" sqref="F9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1210825120299</v>
      </c>
      <c r="J1" s="779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 t="s">
        <v>461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НОИ-ФОНД ГВРС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361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720</v>
      </c>
      <c r="G15" s="229">
        <v>8270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720</v>
      </c>
      <c r="P15" s="378">
        <f t="shared" si="0"/>
        <v>8270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83</v>
      </c>
      <c r="G18" s="229">
        <v>863</v>
      </c>
      <c r="H18" s="15"/>
      <c r="I18" s="230"/>
      <c r="J18" s="229"/>
      <c r="K18" s="227"/>
      <c r="L18" s="230"/>
      <c r="M18" s="229"/>
      <c r="N18" s="227"/>
      <c r="O18" s="365">
        <f t="shared" si="0"/>
        <v>83</v>
      </c>
      <c r="P18" s="378">
        <f t="shared" si="0"/>
        <v>863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1007502</v>
      </c>
      <c r="G22" s="231">
        <v>2851426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1007502</v>
      </c>
      <c r="P22" s="412">
        <f t="shared" si="0"/>
        <v>2851426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390</v>
      </c>
      <c r="G24" s="233">
        <v>2123</v>
      </c>
      <c r="H24" s="15"/>
      <c r="I24" s="234"/>
      <c r="J24" s="233"/>
      <c r="K24" s="227"/>
      <c r="L24" s="234"/>
      <c r="M24" s="233"/>
      <c r="N24" s="227"/>
      <c r="O24" s="361">
        <f t="shared" si="0"/>
        <v>390</v>
      </c>
      <c r="P24" s="384">
        <f t="shared" si="0"/>
        <v>2123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1008695</v>
      </c>
      <c r="G25" s="235">
        <f>+ROUND(+SUM(G15,G16,G18,G19,G20,G21,G22,G23,G24),0)</f>
        <v>2862682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1008695</v>
      </c>
      <c r="P25" s="363">
        <f>+ROUND(+SUM(P15,P16,P18,P19,P20,P21,P22,P23,P24),0)</f>
        <v>2862682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1008695</v>
      </c>
      <c r="G50" s="257">
        <f>+ROUND(G25+G30+G37+G42+G48,0)</f>
        <v>2862682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1008695</v>
      </c>
      <c r="P50" s="380">
        <f>+ROUND(P25+P30+P37+P42+P48,0)</f>
        <v>2862682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23625</v>
      </c>
      <c r="G53" s="259">
        <v>91565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23625</v>
      </c>
      <c r="P53" s="359">
        <f t="shared" si="4"/>
        <v>91565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3500</v>
      </c>
      <c r="G54" s="233">
        <v>23844</v>
      </c>
      <c r="H54" s="15"/>
      <c r="I54" s="234"/>
      <c r="J54" s="233"/>
      <c r="K54" s="227"/>
      <c r="L54" s="234"/>
      <c r="M54" s="233"/>
      <c r="N54" s="227"/>
      <c r="O54" s="361">
        <f t="shared" si="4"/>
        <v>3500</v>
      </c>
      <c r="P54" s="384">
        <f t="shared" si="4"/>
        <v>23844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1210</v>
      </c>
      <c r="G55" s="233">
        <v>2432</v>
      </c>
      <c r="H55" s="15"/>
      <c r="I55" s="234"/>
      <c r="J55" s="233"/>
      <c r="K55" s="227"/>
      <c r="L55" s="234"/>
      <c r="M55" s="233"/>
      <c r="N55" s="227"/>
      <c r="O55" s="361">
        <f t="shared" si="4"/>
        <v>1210</v>
      </c>
      <c r="P55" s="384">
        <f t="shared" si="4"/>
        <v>2432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27225</v>
      </c>
      <c r="G56" s="233">
        <v>94049</v>
      </c>
      <c r="H56" s="15"/>
      <c r="I56" s="234"/>
      <c r="J56" s="233"/>
      <c r="K56" s="227"/>
      <c r="L56" s="234"/>
      <c r="M56" s="233"/>
      <c r="N56" s="227"/>
      <c r="O56" s="361">
        <f t="shared" si="4"/>
        <v>27225</v>
      </c>
      <c r="P56" s="384">
        <f t="shared" si="4"/>
        <v>94049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2550</v>
      </c>
      <c r="G57" s="233">
        <v>4146</v>
      </c>
      <c r="H57" s="15"/>
      <c r="I57" s="234"/>
      <c r="J57" s="233"/>
      <c r="K57" s="227"/>
      <c r="L57" s="234"/>
      <c r="M57" s="233"/>
      <c r="N57" s="227"/>
      <c r="O57" s="361">
        <f t="shared" si="4"/>
        <v>2550</v>
      </c>
      <c r="P57" s="384">
        <f t="shared" si="4"/>
        <v>4146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58110</v>
      </c>
      <c r="G58" s="261">
        <f>+ROUND(+SUM(G53:G57),0)</f>
        <v>216036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58110</v>
      </c>
      <c r="P58" s="382">
        <f>+ROUND(+SUM(P53:P57),0)</f>
        <v>216036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177544</v>
      </c>
      <c r="G71" s="259">
        <v>3663051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177544</v>
      </c>
      <c r="P71" s="359">
        <f>+ROUND(+G71+J71+M71,0)</f>
        <v>3663051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177544</v>
      </c>
      <c r="G73" s="261">
        <f>+ROUND(+SUM(G71:G72),0)</f>
        <v>3663051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177544</v>
      </c>
      <c r="P73" s="382">
        <f>+ROUND(+SUM(P71:P72),0)</f>
        <v>3663051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235654</v>
      </c>
      <c r="G79" s="272">
        <f>+ROUND(G58+G65+G69+G73+G77,0)</f>
        <v>3879087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235654</v>
      </c>
      <c r="P79" s="392">
        <f>+ROUND(P58+P65+P69+P73+P77,0)</f>
        <v>3879087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2425</v>
      </c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2425</v>
      </c>
      <c r="P81" s="378">
        <f>+ROUND(+G81+J81+M81,0)</f>
        <v>0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2425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2425</v>
      </c>
      <c r="P83" s="387">
        <f>+ROUND(P81+P82,0)</f>
        <v>0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775466</v>
      </c>
      <c r="G85" s="291">
        <f>+ROUND(G50,0)-ROUND(G79,0)+ROUND(G83,0)</f>
        <v>-1016405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775466</v>
      </c>
      <c r="P85" s="389">
        <f>+ROUND(P50,0)-ROUND(P79,0)+ROUND(P83,0)</f>
        <v>-1016405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-775466</v>
      </c>
      <c r="G86" s="293">
        <f>+ROUND(G103,0)+ROUND(G122,0)+ROUND(G129,0)-ROUND(G134,0)</f>
        <v>1016405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-775466</v>
      </c>
      <c r="P86" s="391">
        <f>+ROUND(P103,0)+ROUND(P122,0)+ROUND(P129,0)-ROUND(P134,0)</f>
        <v>1016405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-6487600</v>
      </c>
      <c r="G99" s="229">
        <v>1068361</v>
      </c>
      <c r="H99" s="15"/>
      <c r="I99" s="230"/>
      <c r="J99" s="229"/>
      <c r="K99" s="227"/>
      <c r="L99" s="230"/>
      <c r="M99" s="229"/>
      <c r="N99" s="227"/>
      <c r="O99" s="365">
        <f>+ROUND(+F99+I99+L99,0)</f>
        <v>-6487600</v>
      </c>
      <c r="P99" s="378">
        <f>+ROUND(+G99+J99+M99,0)</f>
        <v>1068361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-6487600</v>
      </c>
      <c r="G101" s="235">
        <f>+ROUND(+SUM(G99:G100),0)</f>
        <v>1068361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-6487600</v>
      </c>
      <c r="P101" s="363">
        <f>+ROUND(+SUM(P99:P100),0)</f>
        <v>1068361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-6487600</v>
      </c>
      <c r="G103" s="257">
        <f>+ROUND(G91+G97+G101,0)</f>
        <v>1068361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-6487600</v>
      </c>
      <c r="P103" s="380">
        <f>+ROUND(P91+P97+P101,0)</f>
        <v>1068361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553</v>
      </c>
      <c r="G125" s="233">
        <v>-75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553</v>
      </c>
      <c r="P125" s="384">
        <f t="shared" si="7"/>
        <v>-75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-8044</v>
      </c>
      <c r="G126" s="233">
        <v>10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-8044</v>
      </c>
      <c r="P126" s="384">
        <f t="shared" si="7"/>
        <v>10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-7491</v>
      </c>
      <c r="G129" s="270">
        <f>+ROUND(+SUM(G124,G125,G126,G128),0)</f>
        <v>-65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-7491</v>
      </c>
      <c r="P129" s="387">
        <f>+ROUND(+SUM(P124,P125,P126,P128),0)</f>
        <v>-65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100674184</v>
      </c>
      <c r="G131" s="229">
        <v>100622293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100674184</v>
      </c>
      <c r="P131" s="378">
        <f t="shared" si="8"/>
        <v>100622293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94954559</v>
      </c>
      <c r="G133" s="233">
        <v>100674184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94954559</v>
      </c>
      <c r="P133" s="384">
        <f t="shared" si="8"/>
        <v>100674184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-5719625</v>
      </c>
      <c r="G134" s="275">
        <f>+ROUND(+G133-G131-G132,0)</f>
        <v>51891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-5719625</v>
      </c>
      <c r="P134" s="395">
        <f>+ROUND(+P133-P131-P132,0)</f>
        <v>51891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-5719625</v>
      </c>
      <c r="G142" s="539">
        <f>+G134+G140</f>
        <v>51891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0</v>
      </c>
      <c r="N142" s="227"/>
      <c r="O142" s="394">
        <f>+O134+O140</f>
        <v>-5719625</v>
      </c>
      <c r="P142" s="395">
        <f>+P134+P140</f>
        <v>51891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26042022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463</v>
      </c>
      <c r="G148" s="817"/>
      <c r="H148" s="817"/>
      <c r="I148" s="818"/>
      <c r="J148" s="346"/>
      <c r="K148" s="16"/>
      <c r="L148" s="346" t="s">
        <v>234</v>
      </c>
      <c r="M148" s="816" t="s">
        <v>462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94954559</v>
      </c>
      <c r="G160" s="580">
        <f>+G133+G139</f>
        <v>100674184</v>
      </c>
      <c r="I160" s="579">
        <f>+I133+I139</f>
        <v>0</v>
      </c>
      <c r="J160" s="580">
        <f>+J133+J139</f>
        <v>0</v>
      </c>
      <c r="K160" s="227"/>
      <c r="L160" s="579">
        <f>+L133+L139</f>
        <v>0</v>
      </c>
      <c r="M160" s="580">
        <f>+M133+M139</f>
        <v>0</v>
      </c>
      <c r="N160" s="227"/>
      <c r="O160" s="583">
        <f>+ROUND(+F160+I160+L160,0)</f>
        <v>94954559</v>
      </c>
      <c r="P160" s="584">
        <f>+ROUND(+G160+J160+M160,0)</f>
        <v>100674184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94954559</v>
      </c>
      <c r="G161" s="577">
        <v>100674184</v>
      </c>
      <c r="I161" s="576"/>
      <c r="J161" s="577"/>
      <c r="K161" s="227"/>
      <c r="L161" s="576"/>
      <c r="M161" s="577"/>
      <c r="N161" s="227"/>
      <c r="O161" s="585">
        <f>+ROUND(+F161+I161+L161,0)</f>
        <v>94954559</v>
      </c>
      <c r="P161" s="586">
        <f>+ROUND(+G161+J161+M161,0)</f>
        <v>100674184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5" sqref="G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НОИ-ФОНД ГВРС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1210825120299</v>
      </c>
      <c r="J1" s="833"/>
      <c r="K1" s="439"/>
      <c r="L1" s="440" t="s">
        <v>245</v>
      </c>
      <c r="M1" s="441">
        <f>+'Cash-Flow-2022-Leva'!M1</f>
        <v>5592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 t="str">
        <f>+'Cash-Flow-2022-Leva'!M3:P3</f>
        <v>Vanya.Borisova@nssi.bg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НОИ-ФОНД ГВРС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0.72</v>
      </c>
      <c r="G15" s="255">
        <f>+'Cash-Flow-2022-Leva'!G15/1000</f>
        <v>8.27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0.72</v>
      </c>
      <c r="P15" s="378">
        <f aca="true" t="shared" si="1" ref="P15:P24">+G15+J15+M15</f>
        <v>8.27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0.083</v>
      </c>
      <c r="G18" s="255">
        <f>+'Cash-Flow-2022-Leva'!G18/1000</f>
        <v>0.863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0.083</v>
      </c>
      <c r="P18" s="378">
        <f t="shared" si="1"/>
        <v>0.863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1007.502</v>
      </c>
      <c r="G22" s="278">
        <f>+'Cash-Flow-2022-Leva'!G22/1000</f>
        <v>2851.426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1007.502</v>
      </c>
      <c r="P22" s="412">
        <f t="shared" si="1"/>
        <v>2851.426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0.39</v>
      </c>
      <c r="G24" s="267">
        <f>+'Cash-Flow-2022-Leva'!G24/1000</f>
        <v>2.123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0.39</v>
      </c>
      <c r="P24" s="384">
        <f t="shared" si="1"/>
        <v>2.123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1008.6949999999999</v>
      </c>
      <c r="G25" s="235">
        <f>+SUM(G15,G16,G18,G19,G20,G21,G22,G23,G24)</f>
        <v>2862.682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1008.6949999999999</v>
      </c>
      <c r="P25" s="363">
        <f>+SUM(P15,P16,P18,P19,P20,P21,P22,P23,P24)</f>
        <v>2862.682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0</v>
      </c>
      <c r="G37" s="235">
        <f>+'Cash-Flow-2022-Leva'!G37/1000</f>
        <v>0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0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1008.6949999999999</v>
      </c>
      <c r="G50" s="257">
        <f>+G25+G30+G37+G42+G48</f>
        <v>2862.682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1008.6949999999999</v>
      </c>
      <c r="P50" s="380">
        <f>+P25+P30+P37+P42+P48</f>
        <v>2862.682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23.625</v>
      </c>
      <c r="G53" s="228">
        <f>+'Cash-Flow-2022-Leva'!G53/1000</f>
        <v>91.565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23.625</v>
      </c>
      <c r="P53" s="359">
        <f t="shared" si="5"/>
        <v>91.565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3.5</v>
      </c>
      <c r="G54" s="267">
        <f>+'Cash-Flow-2022-Leva'!G54/1000</f>
        <v>23.844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3.5</v>
      </c>
      <c r="P54" s="384">
        <f t="shared" si="5"/>
        <v>23.844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1.21</v>
      </c>
      <c r="G55" s="267">
        <f>+'Cash-Flow-2022-Leva'!G55/1000</f>
        <v>2.432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1.21</v>
      </c>
      <c r="P55" s="384">
        <f t="shared" si="5"/>
        <v>2.432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27.225</v>
      </c>
      <c r="G56" s="267">
        <f>+'Cash-Flow-2022-Leva'!G56/1000</f>
        <v>94.049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27.225</v>
      </c>
      <c r="P56" s="384">
        <f t="shared" si="5"/>
        <v>94.049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2.55</v>
      </c>
      <c r="G57" s="267">
        <f>+'Cash-Flow-2022-Leva'!G57/1000</f>
        <v>4.146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2.55</v>
      </c>
      <c r="P57" s="384">
        <f t="shared" si="5"/>
        <v>4.146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58.11</v>
      </c>
      <c r="G58" s="261">
        <f>+SUM(G53:G57)</f>
        <v>216.03599999999997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58.11</v>
      </c>
      <c r="P58" s="382">
        <f>+SUM(P53:P57)</f>
        <v>216.03599999999997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0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0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177.544</v>
      </c>
      <c r="G71" s="228">
        <f>+'Cash-Flow-2022-Leva'!G71/1000</f>
        <v>3663.051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177.544</v>
      </c>
      <c r="P71" s="359">
        <f>+G71+J71+M71</f>
        <v>3663.051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177.544</v>
      </c>
      <c r="G73" s="261">
        <f>+SUM(G71:G72)</f>
        <v>3663.051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177.544</v>
      </c>
      <c r="P73" s="382">
        <f>+SUM(P71:P72)</f>
        <v>3663.051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235.654</v>
      </c>
      <c r="G79" s="272">
        <f>+G58+G65+G69+G73+G77</f>
        <v>3879.087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235.654</v>
      </c>
      <c r="P79" s="392">
        <f>+P58+P65+P69+P73+P77</f>
        <v>3879.087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2.425</v>
      </c>
      <c r="G81" s="255">
        <f>+'Cash-Flow-2022-Leva'!G81/1000</f>
        <v>0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2.425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2.425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2.425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775.4659999999999</v>
      </c>
      <c r="G85" s="291">
        <f>+G50-G79+G83</f>
        <v>-1016.4050000000002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775.4659999999999</v>
      </c>
      <c r="P85" s="389">
        <f>+P50-P79+P83</f>
        <v>-1016.4050000000002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-775.4660000000003</v>
      </c>
      <c r="G86" s="293">
        <f>+G103+G122+G129-G134</f>
        <v>1016.4050000000113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-775.4660000000003</v>
      </c>
      <c r="P86" s="391">
        <f>+P103+P122+P129-P134</f>
        <v>1016.4050000000113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-6487.6</v>
      </c>
      <c r="G99" s="255">
        <f>+'Cash-Flow-2022-Leva'!G99/1000</f>
        <v>1068.361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-6487.6</v>
      </c>
      <c r="P99" s="378">
        <f>+G99+J99+M99</f>
        <v>1068.361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-6487.6</v>
      </c>
      <c r="G101" s="235">
        <f>+SUM(G99:G100)</f>
        <v>1068.361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-6487.6</v>
      </c>
      <c r="P101" s="363">
        <f>+SUM(P99:P100)</f>
        <v>1068.361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-6487.6</v>
      </c>
      <c r="G103" s="257">
        <f>+G91+G97+G101</f>
        <v>1068.361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-6487.6</v>
      </c>
      <c r="P103" s="380">
        <f>+P91+P97+P101</f>
        <v>1068.361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</v>
      </c>
      <c r="N118" s="465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5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5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0.553</v>
      </c>
      <c r="G125" s="267">
        <f>+'Cash-Flow-2022-Leva'!G125/1000</f>
        <v>-0.075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0.553</v>
      </c>
      <c r="P125" s="384">
        <f t="shared" si="8"/>
        <v>-0.075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-8.044</v>
      </c>
      <c r="G126" s="267">
        <f>+'Cash-Flow-2022-Leva'!G126/1000</f>
        <v>0.01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-8.044</v>
      </c>
      <c r="P126" s="384">
        <f t="shared" si="8"/>
        <v>0.01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-7.4910000000000005</v>
      </c>
      <c r="G129" s="270">
        <f>+SUM(G124,G125,G126,G128)</f>
        <v>-0.065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-7.4910000000000005</v>
      </c>
      <c r="P129" s="387">
        <f>+SUM(P124,P125,P126,P128)</f>
        <v>-0.065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100674.184</v>
      </c>
      <c r="G131" s="255">
        <f>+'Cash-Flow-2022-Leva'!G131/1000</f>
        <v>100622.293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0</v>
      </c>
      <c r="N131" s="465"/>
      <c r="O131" s="365">
        <f aca="true" t="shared" si="9" ref="O131:P133">+F131+I131+L131</f>
        <v>100674.184</v>
      </c>
      <c r="P131" s="378">
        <f t="shared" si="9"/>
        <v>100622.293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94954.559</v>
      </c>
      <c r="G133" s="267">
        <f>+'Cash-Flow-2022-Leva'!G133/1000</f>
        <v>100674.184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0</v>
      </c>
      <c r="M133" s="267">
        <f>+'Cash-Flow-2022-Leva'!M133/1000</f>
        <v>0</v>
      </c>
      <c r="N133" s="465"/>
      <c r="O133" s="361">
        <f t="shared" si="9"/>
        <v>94954.559</v>
      </c>
      <c r="P133" s="384">
        <f t="shared" si="9"/>
        <v>100674.184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-5719.625</v>
      </c>
      <c r="G134" s="275">
        <f>+G133-G131-G132</f>
        <v>51.89099999998871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5"/>
      <c r="O134" s="394">
        <f>+O133-O131-O132</f>
        <v>-5719.625</v>
      </c>
      <c r="P134" s="395">
        <f>+P133-P131-P132</f>
        <v>51.89099999998871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-5719.625</v>
      </c>
      <c r="G142" s="275">
        <f>+G134+G140</f>
        <v>51.89099999998871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</v>
      </c>
      <c r="N142" s="465"/>
      <c r="O142" s="563">
        <f>+O134+O140</f>
        <v>-5719.625</v>
      </c>
      <c r="P142" s="564">
        <f>+P134+P140</f>
        <v>51.89099999998871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26042022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2022-04-14T13:30:49Z</dcterms:modified>
  <cp:category/>
  <cp:version/>
  <cp:contentType/>
  <cp:contentStatus/>
</cp:coreProperties>
</file>