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firstSheet="1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<sst xmlns="http://schemas.openxmlformats.org/spreadsheetml/2006/main" count="674" uniqueCount="459">
  <si>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</si>
  <si>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</si>
  <si>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</si>
  <si>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</si>
  <si>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</si>
  <si>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</si>
  <si>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</si>
  <si>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</si>
  <si>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</si>
  <si>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</si>
  <si>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</si>
  <si>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</si>
  <si>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</si>
  <si>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</si>
  <si>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</si>
  <si>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</si>
  <si>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</si>
  <si>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</si>
  <si>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</si>
  <si>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</si>
  <si>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</si>
  <si>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</si>
  <si>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</si>
  <si>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</si>
  <si>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</si>
  <si>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</si>
  <si>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</si>
  <si>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</si>
  <si>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</si>
  <si>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</si>
  <si>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</si>
  <si>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</si>
  <si>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</si>
  <si>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</si>
  <si>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</si>
  <si>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</si>
  <si>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</si>
  <si>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</si>
  <si>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</si>
  <si>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</si>
  <si>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</si>
  <si>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</si>
  <si>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</si>
  <si>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</si>
  <si>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</si>
  <si>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</si>
  <si>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</si>
  <si>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</si>
  <si>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</si>
  <si>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</si>
  <si>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</si>
  <si>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</si>
  <si>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</si>
  <si>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</si>
  <si>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</si>
  <si>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</si>
  <si>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</si>
  <si>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</si>
  <si>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</si>
  <si>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</si>
  <si>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</si>
  <si>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</si>
  <si>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</si>
  <si>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</si>
  <si>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</si>
  <si>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</si>
  <si>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</si>
  <si>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</si>
  <si>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</si>
  <si>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</si>
  <si>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</si>
  <si>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</si>
  <si>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</si>
  <si>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</si>
  <si>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</si>
  <si>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</si>
  <si>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</si>
  <si>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</si>
  <si>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</si>
  <si>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</si>
  <si>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</si>
  <si>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</si>
  <si>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</si>
  <si>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</si>
  <si>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</si>
  <si>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</si>
  <si>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</si>
  <si>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</si>
  <si>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</si>
  <si>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</si>
  <si>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</si>
  <si>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</si>
  <si>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</si>
  <si>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</si>
  <si>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</si>
  <si>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</si>
  <si>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</si>
  <si>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</si>
  <si>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</si>
  <si>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</si>
  <si>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</si>
  <si>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</si>
  <si>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</si>
  <si>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</si>
  <si>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</si>
  <si>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</si>
  <si>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</si>
  <si>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</si>
  <si>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</si>
  <si>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</si>
  <si>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</si>
  <si>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</si>
  <si>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</si>
  <si>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</si>
  <si>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</si>
  <si>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</si>
  <si>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</si>
  <si>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</si>
  <si>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</si>
  <si>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</si>
  <si>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</si>
  <si>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</si>
  <si>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</si>
  <si>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</si>
  <si>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</si>
  <si>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</si>
  <si>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</si>
  <si>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</si>
  <si>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</si>
  <si>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</si>
  <si>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</si>
  <si>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</si>
  <si>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</si>
  <si>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</si>
  <si>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</si>
  <si>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</si>
  <si>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</si>
  <si>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</si>
  <si>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</si>
  <si>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</si>
  <si>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</si>
  <si>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</si>
  <si>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</si>
  <si>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</si>
  <si>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</si>
  <si>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</si>
  <si>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</si>
  <si>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</si>
  <si>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</si>
  <si>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</si>
  <si>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</si>
  <si>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</si>
  <si>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</si>
  <si>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</si>
  <si>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</si>
  <si>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</si>
  <si>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</si>
  <si>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</si>
  <si>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</si>
  <si>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</si>
  <si>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</si>
  <si>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</si>
  <si>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</si>
  <si>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</si>
  <si>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</si>
  <si>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</si>
  <si>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</si>
  <si>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</si>
  <si>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</si>
  <si>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</si>
  <si>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</si>
  <si>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</si>
  <si>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</si>
  <si>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</si>
  <si>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</si>
  <si>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</si>
  <si>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</si>
  <si>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</si>
  <si>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</si>
  <si>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</si>
  <si>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</si>
  <si>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</si>
  <si>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</si>
  <si>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</si>
  <si>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</si>
  <si>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</si>
  <si>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</si>
  <si>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</si>
  <si>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</si>
  <si>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</si>
  <si>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</si>
  <si>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</si>
  <si>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</si>
  <si>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</si>
  <si>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</si>
  <si>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</si>
  <si>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</si>
  <si>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</si>
  <si>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</si>
  <si>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</si>
  <si>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</si>
  <si>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</si>
  <si>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</si>
  <si>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</si>
  <si>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</si>
  <si>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</si>
  <si>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</si>
  <si>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</si>
  <si>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</si>
  <si>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</si>
  <si>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</si>
  <si>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</si>
  <si>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</si>
  <si>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</si>
  <si>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</si>
  <si>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</si>
  <si>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</si>
  <si>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</si>
  <si>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</si>
  <si>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</si>
  <si>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</si>
  <si>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</si>
  <si>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</si>
  <si>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</si>
  <si>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</si>
  <si>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</si>
  <si>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</si>
  <si>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</si>
  <si>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</si>
  <si>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</si>
  <si>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</si>
  <si>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</si>
  <si>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</si>
  <si>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</si>
  <si>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</si>
  <si>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</si>
  <si>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</si>
  <si>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</si>
  <si>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</si>
  <si>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</si>
  <si>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</si>
  <si>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</si>
  <si>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</si>
  <si>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</si>
  <si>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</si>
  <si>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</si>
  <si>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</si>
  <si>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</si>
  <si>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</si>
  <si>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</si>
  <si>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</si>
  <si>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</si>
  <si>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</si>
  <si>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</si>
  <si>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</si>
  <si>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</si>
  <si>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</si>
  <si>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</si>
  <si>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</si>
  <si>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</si>
  <si>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</si>
  <si>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</si>
  <si>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</si>
  <si>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</si>
  <si>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</si>
  <si>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</si>
  <si>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</si>
  <si>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</si>
  <si>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</si>
  <si>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</si>
  <si>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</si>
  <si>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</si>
  <si>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</si>
  <si>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</si>
  <si>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</si>
  <si>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</si>
  <si>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</si>
  <si>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</si>
  <si>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</si>
  <si>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</si>
  <si>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</si>
  <si>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</si>
  <si>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</si>
  <si>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</si>
  <si>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</si>
  <si>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</si>
  <si>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</si>
  <si>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</si>
  <si>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</si>
  <si>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</si>
  <si>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</si>
  <si>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</si>
  <si>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</si>
  <si>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</si>
  <si>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</si>
  <si>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</si>
  <si>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</si>
  <si>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</si>
  <si>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</si>
  <si>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</si>
  <si>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</si>
  <si>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</si>
  <si>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</si>
  <si>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</si>
  <si>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</si>
  <si>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</si>
  <si>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</si>
  <si>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</si>
  <si>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</si>
  <si>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</si>
  <si>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</si>
  <si>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</si>
  <si>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</si>
  <si>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</si>
  <si>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</si>
  <si>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</si>
  <si>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</si>
  <si>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</si>
  <si>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</si>
  <si>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</si>
  <si>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</si>
  <si>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</si>
  <si>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</si>
  <si>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</si>
  <si>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</si>
  <si>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</si>
  <si>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</si>
  <si>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</si>
  <si>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</si>
  <si>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</si>
  <si>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</si>
  <si>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</si>
  <si>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</si>
  <si>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</si>
  <si>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</si>
  <si>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</si>
  <si>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</si>
  <si>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</si>
  <si>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</si>
  <si>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</si>
  <si>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</si>
  <si>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</si>
  <si>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</si>
  <si>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</si>
  <si>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</si>
  <si>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</si>
  <si>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</si>
  <si>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</si>
  <si>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</si>
  <si>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</si>
  <si>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</si>
  <si>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</si>
  <si>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</si>
  <si>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</si>
  <si>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</si>
  <si>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</si>
  <si>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</si>
  <si>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</si>
  <si>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</si>
  <si>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</si>
  <si>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</si>
  <si>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</si>
  <si>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</si>
  <si>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</si>
  <si>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</si>
  <si>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</si>
  <si>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</si>
  <si>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</si>
  <si>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</si>
  <si>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</si>
  <si>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</si>
  <si>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</si>
  <si>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</si>
  <si>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</si>
  <si>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</si>
  <si>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</si>
  <si>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</si>
  <si>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</si>
  <si>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</si>
  <si>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</si>
  <si>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</si>
  <si>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</si>
  <si>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</si>
  <si>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</si>
  <si>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</si>
  <si>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</si>
  <si>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</si>
  <si>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</si>
  <si>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</si>
  <si>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</si>
  <si>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</si>
  <si>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</si>
  <si>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</si>
  <si>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</si>
  <si>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</si>
  <si>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</si>
  <si>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</si>
  <si>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</si>
  <si>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</si>
  <si>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</si>
  <si>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</si>
  <si>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</si>
  <si>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</si>
  <si>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</si>
  <si>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</si>
  <si>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</si>
  <si>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</si>
  <si>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</si>
  <si>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</si>
  <si>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</si>
  <si>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</si>
  <si>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</si>
  <si>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</si>
  <si>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</si>
  <si>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</si>
  <si>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</si>
  <si>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</si>
  <si>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</si>
  <si>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</si>
  <si>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</si>
  <si>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</si>
  <si>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</si>
  <si>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</si>
  <si>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</si>
  <si>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</si>
  <si>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</si>
  <si>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</si>
  <si>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</si>
  <si>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</si>
  <si>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</si>
  <si>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</si>
  <si>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</si>
  <si>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</si>
  <si>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</si>
  <si>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</si>
  <si>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</si>
  <si>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</si>
  <si>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</si>
  <si>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</si>
  <si>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</si>
  <si>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</si>
  <si>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</si>
  <si>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</si>
  <si>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</si>
  <si>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</si>
  <si>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</si>
  <si>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</si>
  <si>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</si>
  <si>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</si>
  <si>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</si>
  <si>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</si>
  <si>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</si>
  <si>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</si>
  <si>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</si>
  <si>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</si>
  <si>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Vanya.Borisova@nssi.bg</t>
  </si>
  <si>
    <t>НОИ-ФОНД ГВРС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</si>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</sst>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66" fontId="152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6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7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0" fillId="32" borderId="26" xfId="0" applyNumberFormat="1" applyFont="1" applyFill="1" applyBorder="1" applyAlignment="1" applyProtection="1">
      <alignment horizontal="center"/>
      <protection/>
    </xf>
    <xf numFmtId="166" fontId="12" fillId="32" borderId="26" xfId="0" applyNumberFormat="1" applyFont="1" applyFill="1" applyBorder="1" applyAlignment="1" applyProtection="1">
      <alignment horizontal="center"/>
      <protection/>
    </xf>
    <xf numFmtId="166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8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5" fontId="159" fillId="33" borderId="26" xfId="0" applyNumberFormat="1" applyFont="1" applyFill="1" applyBorder="1" applyAlignment="1" applyProtection="1">
      <alignment horizontal="center"/>
      <protection locked="0"/>
    </xf>
    <xf numFmtId="175" fontId="159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0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0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0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0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0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0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0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0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0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1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6" fontId="5" fillId="39" borderId="65" xfId="60" applyNumberFormat="1" applyFont="1" applyFill="1" applyBorder="1" applyAlignment="1" applyProtection="1">
      <alignment horizontal="left"/>
      <protection/>
    </xf>
    <xf numFmtId="166" fontId="5" fillId="39" borderId="37" xfId="60" applyNumberFormat="1" applyFont="1" applyFill="1" applyBorder="1" applyAlignment="1" applyProtection="1">
      <alignment horizontal="left"/>
      <protection/>
    </xf>
    <xf numFmtId="16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3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2" borderId="81" xfId="0" applyNumberFormat="1" applyFont="1" applyFill="1" applyBorder="1" applyAlignment="1" applyProtection="1">
      <alignment/>
      <protection/>
    </xf>
    <xf numFmtId="176" fontId="3" fillId="32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6" fillId="39" borderId="101" xfId="0" applyNumberFormat="1" applyFont="1" applyFill="1" applyBorder="1" applyAlignment="1" applyProtection="1" quotePrefix="1">
      <alignment horizontal="center"/>
      <protection/>
    </xf>
    <xf numFmtId="183" fontId="162" fillId="40" borderId="101" xfId="0" applyNumberFormat="1" applyFont="1" applyFill="1" applyBorder="1" applyAlignment="1" applyProtection="1" quotePrefix="1">
      <alignment horizontal="center"/>
      <protection/>
    </xf>
    <xf numFmtId="183" fontId="163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8" fillId="38" borderId="104" xfId="0" applyNumberFormat="1" applyFont="1" applyFill="1" applyBorder="1" applyAlignment="1" applyProtection="1">
      <alignment horizontal="center"/>
      <protection/>
    </xf>
    <xf numFmtId="174" fontId="164" fillId="38" borderId="103" xfId="0" applyNumberFormat="1" applyFont="1" applyFill="1" applyBorder="1" applyAlignment="1" applyProtection="1">
      <alignment horizontal="center"/>
      <protection/>
    </xf>
    <xf numFmtId="174" fontId="164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66" fontId="165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0" fillId="42" borderId="107" xfId="0" applyNumberFormat="1" applyFont="1" applyFill="1" applyBorder="1" applyAlignment="1" applyProtection="1">
      <alignment/>
      <protection/>
    </xf>
    <xf numFmtId="176" fontId="30" fillId="42" borderId="91" xfId="0" applyNumberFormat="1" applyFont="1" applyFill="1" applyBorder="1" applyAlignment="1" applyProtection="1">
      <alignment/>
      <protection/>
    </xf>
    <xf numFmtId="176" fontId="30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0" fillId="42" borderId="110" xfId="0" applyNumberFormat="1" applyFont="1" applyFill="1" applyBorder="1" applyAlignment="1" applyProtection="1">
      <alignment/>
      <protection/>
    </xf>
    <xf numFmtId="176" fontId="12" fillId="42" borderId="109" xfId="60" applyNumberFormat="1" applyFont="1" applyFill="1" applyBorder="1" applyAlignment="1" applyProtection="1">
      <alignment/>
      <protection/>
    </xf>
    <xf numFmtId="0" fontId="166" fillId="47" borderId="0" xfId="61" applyFont="1" applyFill="1" applyBorder="1" applyAlignment="1" applyProtection="1">
      <alignment horizontal="center"/>
      <protection/>
    </xf>
    <xf numFmtId="166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64" fontId="55" fillId="49" borderId="26" xfId="64" applyNumberFormat="1" applyFont="1" applyFill="1" applyBorder="1" applyAlignment="1" applyProtection="1">
      <alignment horizontal="center" vertical="center"/>
      <protection locked="0"/>
    </xf>
    <xf numFmtId="166" fontId="153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72" fontId="169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70" fillId="33" borderId="26" xfId="64" applyNumberFormat="1" applyFont="1" applyFill="1" applyBorder="1" applyAlignment="1" applyProtection="1">
      <alignment horizontal="center" vertical="center"/>
      <protection/>
    </xf>
    <xf numFmtId="164" fontId="171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32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2" fillId="33" borderId="70" xfId="0" applyNumberFormat="1" applyFont="1" applyFill="1" applyBorder="1" applyAlignment="1" applyProtection="1" quotePrefix="1">
      <alignment/>
      <protection/>
    </xf>
    <xf numFmtId="166" fontId="173" fillId="33" borderId="70" xfId="0" applyNumberFormat="1" applyFont="1" applyFill="1" applyBorder="1" applyAlignment="1" applyProtection="1" quotePrefix="1">
      <alignment/>
      <protection/>
    </xf>
    <xf numFmtId="166" fontId="172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2" fillId="33" borderId="115" xfId="0" applyNumberFormat="1" applyFont="1" applyFill="1" applyBorder="1" applyAlignment="1" applyProtection="1" quotePrefix="1">
      <alignment/>
      <protection/>
    </xf>
    <xf numFmtId="166" fontId="172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2" fillId="32" borderId="115" xfId="0" applyNumberFormat="1" applyFont="1" applyFill="1" applyBorder="1" applyAlignment="1" applyProtection="1" quotePrefix="1">
      <alignment/>
      <protection/>
    </xf>
    <xf numFmtId="166" fontId="173" fillId="32" borderId="31" xfId="0" applyNumberFormat="1" applyFont="1" applyFill="1" applyBorder="1" applyAlignment="1" applyProtection="1" quotePrefix="1">
      <alignment/>
      <protection/>
    </xf>
    <xf numFmtId="166" fontId="172" fillId="33" borderId="85" xfId="0" applyNumberFormat="1" applyFont="1" applyFill="1" applyBorder="1" applyAlignment="1" applyProtection="1" quotePrefix="1">
      <alignment/>
      <protection/>
    </xf>
    <xf numFmtId="166" fontId="173" fillId="33" borderId="86" xfId="0" applyNumberFormat="1" applyFont="1" applyFill="1" applyBorder="1" applyAlignment="1" applyProtection="1" quotePrefix="1">
      <alignment/>
      <protection/>
    </xf>
    <xf numFmtId="166" fontId="173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74" fontId="35" fillId="50" borderId="117" xfId="0" applyNumberFormat="1" applyFont="1" applyFill="1" applyBorder="1" applyAlignment="1" applyProtection="1">
      <alignment horizontal="center"/>
      <protection/>
    </xf>
    <xf numFmtId="174" fontId="36" fillId="41" borderId="117" xfId="0" applyNumberFormat="1" applyFont="1" applyFill="1" applyBorder="1" applyAlignment="1" applyProtection="1">
      <alignment horizontal="center"/>
      <protection/>
    </xf>
    <xf numFmtId="174" fontId="174" fillId="50" borderId="117" xfId="0" applyNumberFormat="1" applyFont="1" applyFill="1" applyBorder="1" applyAlignment="1" applyProtection="1">
      <alignment horizontal="center"/>
      <protection/>
    </xf>
    <xf numFmtId="174" fontId="175" fillId="41" borderId="117" xfId="0" applyNumberFormat="1" applyFont="1" applyFill="1" applyBorder="1" applyAlignment="1" applyProtection="1">
      <alignment horizontal="center"/>
      <protection/>
    </xf>
    <xf numFmtId="174" fontId="35" fillId="51" borderId="117" xfId="0" applyNumberFormat="1" applyFont="1" applyFill="1" applyBorder="1" applyAlignment="1" applyProtection="1">
      <alignment horizontal="center"/>
      <protection/>
    </xf>
    <xf numFmtId="174" fontId="36" fillId="51" borderId="117" xfId="0" applyNumberFormat="1" applyFont="1" applyFill="1" applyBorder="1" applyAlignment="1" applyProtection="1">
      <alignment horizontal="center"/>
      <protection/>
    </xf>
    <xf numFmtId="174" fontId="176" fillId="51" borderId="117" xfId="0" applyNumberFormat="1" applyFont="1" applyFill="1" applyBorder="1" applyAlignment="1" applyProtection="1">
      <alignment horizontal="center"/>
      <protection/>
    </xf>
    <xf numFmtId="174" fontId="175" fillId="51" borderId="117" xfId="0" applyNumberFormat="1" applyFont="1" applyFill="1" applyBorder="1" applyAlignment="1" applyProtection="1">
      <alignment horizontal="center"/>
      <protection/>
    </xf>
    <xf numFmtId="174" fontId="35" fillId="52" borderId="117" xfId="0" applyNumberFormat="1" applyFont="1" applyFill="1" applyBorder="1" applyAlignment="1" applyProtection="1">
      <alignment horizontal="center"/>
      <protection/>
    </xf>
    <xf numFmtId="174" fontId="36" fillId="52" borderId="117" xfId="0" applyNumberFormat="1" applyFont="1" applyFill="1" applyBorder="1" applyAlignment="1" applyProtection="1">
      <alignment horizontal="center"/>
      <protection/>
    </xf>
    <xf numFmtId="174" fontId="177" fillId="52" borderId="117" xfId="0" applyNumberFormat="1" applyFont="1" applyFill="1" applyBorder="1" applyAlignment="1" applyProtection="1">
      <alignment horizontal="center"/>
      <protection/>
    </xf>
    <xf numFmtId="174" fontId="178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8" fillId="38" borderId="119" xfId="0" applyNumberFormat="1" applyFont="1" applyFill="1" applyBorder="1" applyAlignment="1" applyProtection="1">
      <alignment horizontal="center"/>
      <protection/>
    </xf>
    <xf numFmtId="174" fontId="164" fillId="38" borderId="118" xfId="0" applyNumberFormat="1" applyFont="1" applyFill="1" applyBorder="1" applyAlignment="1" applyProtection="1">
      <alignment horizontal="center"/>
      <protection/>
    </xf>
    <xf numFmtId="174" fontId="164" fillId="38" borderId="119" xfId="0" applyNumberFormat="1" applyFont="1" applyFill="1" applyBorder="1" applyAlignment="1" applyProtection="1">
      <alignment horizontal="center"/>
      <protection/>
    </xf>
    <xf numFmtId="166" fontId="12" fillId="32" borderId="118" xfId="0" applyNumberFormat="1" applyFont="1" applyFill="1" applyBorder="1" applyAlignment="1" applyProtection="1">
      <alignment horizontal="center"/>
      <protection/>
    </xf>
    <xf numFmtId="166" fontId="30" fillId="32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9" fillId="42" borderId="41" xfId="65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0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0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0" fillId="42" borderId="10" xfId="0" applyNumberFormat="1" applyFont="1" applyFill="1" applyBorder="1" applyAlignment="1" applyProtection="1">
      <alignment/>
      <protection locked="0"/>
    </xf>
    <xf numFmtId="166" fontId="165" fillId="32" borderId="0" xfId="0" applyNumberFormat="1" applyFont="1" applyFill="1" applyBorder="1" applyAlignment="1" applyProtection="1" quotePrefix="1">
      <alignment horizontal="center"/>
      <protection/>
    </xf>
    <xf numFmtId="166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5" xfId="0" applyNumberFormat="1" applyFont="1" applyFill="1" applyBorder="1" applyAlignment="1" applyProtection="1">
      <alignment/>
      <protection/>
    </xf>
    <xf numFmtId="176" fontId="3" fillId="32" borderId="55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87" fontId="22" fillId="33" borderId="0" xfId="58" applyNumberFormat="1" applyFont="1" applyFill="1" applyBorder="1" applyAlignment="1">
      <alignment/>
      <protection/>
    </xf>
    <xf numFmtId="189" fontId="22" fillId="32" borderId="68" xfId="58" applyNumberFormat="1" applyFont="1" applyFill="1" applyBorder="1" applyAlignment="1">
      <alignment/>
      <protection/>
    </xf>
    <xf numFmtId="189" fontId="22" fillId="32" borderId="18" xfId="58" applyNumberFormat="1" applyFont="1" applyFill="1" applyBorder="1" applyAlignment="1">
      <alignment/>
      <protection/>
    </xf>
    <xf numFmtId="189" fontId="22" fillId="32" borderId="21" xfId="58" applyNumberFormat="1" applyFont="1" applyFill="1" applyBorder="1" applyAlignment="1">
      <alignment/>
      <protection/>
    </xf>
    <xf numFmtId="189" fontId="22" fillId="44" borderId="68" xfId="58" applyNumberFormat="1" applyFont="1" applyFill="1" applyBorder="1" applyAlignment="1">
      <alignment/>
      <protection/>
    </xf>
    <xf numFmtId="189" fontId="22" fillId="44" borderId="18" xfId="58" applyNumberFormat="1" applyFont="1" applyFill="1" applyBorder="1" applyAlignment="1">
      <alignment/>
      <protection/>
    </xf>
    <xf numFmtId="189" fontId="22" fillId="44" borderId="21" xfId="58" applyNumberFormat="1" applyFont="1" applyFill="1" applyBorder="1" applyAlignment="1">
      <alignment/>
      <protection/>
    </xf>
    <xf numFmtId="193" fontId="22" fillId="33" borderId="0" xfId="57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2" fontId="180" fillId="39" borderId="26" xfId="0" applyNumberFormat="1" applyFont="1" applyFill="1" applyBorder="1" applyAlignment="1" applyProtection="1">
      <alignment horizontal="center"/>
      <protection/>
    </xf>
    <xf numFmtId="172" fontId="181" fillId="39" borderId="26" xfId="0" applyNumberFormat="1" applyFont="1" applyFill="1" applyBorder="1" applyAlignment="1" applyProtection="1">
      <alignment horizontal="center"/>
      <protection/>
    </xf>
    <xf numFmtId="183" fontId="156" fillId="39" borderId="26" xfId="0" applyNumberFormat="1" applyFont="1" applyFill="1" applyBorder="1" applyAlignment="1" applyProtection="1" quotePrefix="1">
      <alignment horizontal="center"/>
      <protection/>
    </xf>
    <xf numFmtId="171" fontId="157" fillId="40" borderId="26" xfId="0" applyNumberFormat="1" applyFont="1" applyFill="1" applyBorder="1" applyAlignment="1" applyProtection="1" quotePrefix="1">
      <alignment horizontal="center"/>
      <protection/>
    </xf>
    <xf numFmtId="183" fontId="162" fillId="40" borderId="26" xfId="0" applyNumberFormat="1" applyFont="1" applyFill="1" applyBorder="1" applyAlignment="1" applyProtection="1" quotePrefix="1">
      <alignment horizontal="center"/>
      <protection/>
    </xf>
    <xf numFmtId="171" fontId="162" fillId="40" borderId="26" xfId="0" applyNumberFormat="1" applyFont="1" applyFill="1" applyBorder="1" applyAlignment="1" applyProtection="1" quotePrefix="1">
      <alignment horizontal="center"/>
      <protection/>
    </xf>
    <xf numFmtId="171" fontId="169" fillId="48" borderId="26" xfId="0" applyNumberFormat="1" applyFont="1" applyFill="1" applyBorder="1" applyAlignment="1" applyProtection="1" quotePrefix="1">
      <alignment horizontal="center"/>
      <protection/>
    </xf>
    <xf numFmtId="183" fontId="163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2" fillId="47" borderId="27" xfId="65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202" fontId="22" fillId="33" borderId="0" xfId="58" applyNumberFormat="1" applyFont="1" applyFill="1" applyBorder="1" applyAlignment="1">
      <alignment/>
      <protection/>
    </xf>
    <xf numFmtId="169" fontId="22" fillId="33" borderId="0" xfId="57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87" fontId="19" fillId="54" borderId="19" xfId="58" applyNumberFormat="1" applyFont="1" applyFill="1" applyBorder="1" applyAlignment="1">
      <alignment/>
      <protection/>
    </xf>
    <xf numFmtId="187" fontId="19" fillId="54" borderId="68" xfId="58" applyNumberFormat="1" applyFont="1" applyFill="1" applyBorder="1" applyAlignment="1">
      <alignment/>
      <protection/>
    </xf>
    <xf numFmtId="187" fontId="19" fillId="54" borderId="20" xfId="58" applyNumberFormat="1" applyFont="1" applyFill="1" applyBorder="1" applyAlignment="1">
      <alignment/>
      <protection/>
    </xf>
    <xf numFmtId="187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3" fillId="39" borderId="101" xfId="0" applyNumberFormat="1" applyFont="1" applyFill="1" applyBorder="1" applyAlignment="1" applyProtection="1" quotePrefix="1">
      <alignment horizontal="center"/>
      <protection/>
    </xf>
    <xf numFmtId="203" fontId="157" fillId="40" borderId="101" xfId="0" applyNumberFormat="1" applyFont="1" applyFill="1" applyBorder="1" applyAlignment="1" applyProtection="1" quotePrefix="1">
      <alignment horizontal="center"/>
      <protection/>
    </xf>
    <xf numFmtId="203" fontId="169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4" fillId="32" borderId="44" xfId="0" applyNumberFormat="1" applyFont="1" applyFill="1" applyBorder="1" applyAlignment="1" applyProtection="1">
      <alignment horizontal="center"/>
      <protection locked="0"/>
    </xf>
    <xf numFmtId="203" fontId="183" fillId="39" borderId="26" xfId="0" applyNumberFormat="1" applyFont="1" applyFill="1" applyBorder="1" applyAlignment="1" applyProtection="1">
      <alignment horizontal="center"/>
      <protection/>
    </xf>
    <xf numFmtId="203" fontId="157" fillId="40" borderId="26" xfId="0" applyNumberFormat="1" applyFont="1" applyFill="1" applyBorder="1" applyAlignment="1" applyProtection="1" quotePrefix="1">
      <alignment horizontal="center"/>
      <protection/>
    </xf>
    <xf numFmtId="203" fontId="169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5" fillId="33" borderId="44" xfId="0" applyNumberFormat="1" applyFont="1" applyFill="1" applyBorder="1" applyAlignment="1" applyProtection="1">
      <alignment horizontal="center"/>
      <protection/>
    </xf>
    <xf numFmtId="192" fontId="22" fillId="33" borderId="0" xfId="57" applyNumberFormat="1" applyFont="1" applyFill="1" applyBorder="1" applyAlignment="1">
      <alignment horizontal="center"/>
      <protection/>
    </xf>
    <xf numFmtId="171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68" fontId="22" fillId="32" borderId="0" xfId="57" applyNumberFormat="1" applyFont="1" applyFill="1" applyBorder="1" applyAlignment="1">
      <alignment horizontal="left"/>
      <protection/>
    </xf>
    <xf numFmtId="168" fontId="24" fillId="44" borderId="0" xfId="57" applyNumberFormat="1" applyFont="1" applyFill="1" applyBorder="1" applyAlignment="1">
      <alignment horizontal="center"/>
      <protection/>
    </xf>
    <xf numFmtId="171" fontId="24" fillId="44" borderId="0" xfId="57" applyNumberFormat="1" applyFont="1" applyFill="1" applyBorder="1" applyAlignment="1">
      <alignment horizontal="center"/>
      <protection/>
    </xf>
    <xf numFmtId="168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2" fillId="44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0" fontId="19" fillId="32" borderId="68" xfId="57" applyNumberFormat="1" applyFont="1" applyFill="1" applyBorder="1" applyAlignment="1">
      <alignment horizontal="center"/>
      <protection/>
    </xf>
    <xf numFmtId="170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69" fontId="66" fillId="33" borderId="0" xfId="57" applyNumberFormat="1" applyFont="1" applyFill="1" applyBorder="1" applyAlignment="1">
      <alignment/>
      <protection/>
    </xf>
    <xf numFmtId="170" fontId="66" fillId="38" borderId="0" xfId="57" applyNumberFormat="1" applyFont="1" applyFill="1" applyBorder="1" applyAlignment="1">
      <alignment/>
      <protection/>
    </xf>
    <xf numFmtId="202" fontId="66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66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66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69" fontId="66" fillId="32" borderId="20" xfId="57" applyNumberFormat="1" applyFont="1" applyFill="1" applyBorder="1">
      <alignment/>
      <protection/>
    </xf>
    <xf numFmtId="168" fontId="66" fillId="32" borderId="20" xfId="57" applyNumberFormat="1" applyFont="1" applyFill="1" applyBorder="1" applyAlignment="1">
      <alignment horizontal="left"/>
      <protection/>
    </xf>
    <xf numFmtId="200" fontId="186" fillId="55" borderId="0" xfId="63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169" fontId="22" fillId="33" borderId="0" xfId="57" applyNumberFormat="1" applyFont="1" applyFill="1" applyBorder="1" applyAlignment="1">
      <alignment horizontal="center"/>
      <protection/>
    </xf>
    <xf numFmtId="202" fontId="22" fillId="33" borderId="0" xfId="58" applyNumberFormat="1" applyFont="1" applyFill="1" applyBorder="1" applyAlignment="1">
      <alignment horizontal="left"/>
      <protection/>
    </xf>
    <xf numFmtId="171" fontId="22" fillId="32" borderId="0" xfId="57" applyNumberFormat="1" applyFont="1" applyFill="1" applyBorder="1" applyAlignment="1">
      <alignment horizontal="center"/>
      <protection/>
    </xf>
    <xf numFmtId="169" fontId="66" fillId="33" borderId="0" xfId="57" applyNumberFormat="1" applyFont="1" applyFill="1" applyBorder="1" applyAlignment="1">
      <alignment horizontal="center"/>
      <protection/>
    </xf>
    <xf numFmtId="168" fontId="22" fillId="32" borderId="0" xfId="57" applyNumberFormat="1" applyFont="1" applyFill="1" applyBorder="1" applyAlignment="1">
      <alignment horizontal="center"/>
      <protection/>
    </xf>
    <xf numFmtId="170" fontId="66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66" fillId="38" borderId="0" xfId="57" applyNumberFormat="1" applyFont="1" applyFill="1" applyBorder="1" applyAlignment="1">
      <alignment horizontal="center"/>
      <protection/>
    </xf>
    <xf numFmtId="187" fontId="22" fillId="33" borderId="0" xfId="58" applyNumberFormat="1" applyFont="1" applyFill="1" applyBorder="1" applyAlignment="1">
      <alignment horizontal="center"/>
      <protection/>
    </xf>
    <xf numFmtId="185" fontId="8" fillId="52" borderId="131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169" fontId="22" fillId="44" borderId="0" xfId="57" applyNumberFormat="1" applyFont="1" applyFill="1" applyBorder="1" applyAlignment="1">
      <alignment horizontal="center"/>
      <protection/>
    </xf>
    <xf numFmtId="170" fontId="66" fillId="38" borderId="0" xfId="57" applyNumberFormat="1" applyFont="1" applyFill="1" applyBorder="1" applyAlignment="1">
      <alignment horizontal="left"/>
      <protection/>
    </xf>
    <xf numFmtId="191" fontId="56" fillId="44" borderId="20" xfId="58" applyNumberFormat="1" applyFont="1" applyFill="1" applyBorder="1" applyAlignment="1">
      <alignment horizontal="center"/>
      <protection/>
    </xf>
    <xf numFmtId="189" fontId="56" fillId="32" borderId="19" xfId="58" applyNumberFormat="1" applyFont="1" applyFill="1" applyBorder="1" applyAlignment="1">
      <alignment horizontal="center"/>
      <protection/>
    </xf>
    <xf numFmtId="190" fontId="56" fillId="32" borderId="0" xfId="58" applyNumberFormat="1" applyFont="1" applyFill="1" applyBorder="1" applyAlignment="1">
      <alignment horizontal="center"/>
      <protection/>
    </xf>
    <xf numFmtId="187" fontId="22" fillId="32" borderId="0" xfId="58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92" fontId="22" fillId="33" borderId="0" xfId="57" applyNumberFormat="1" applyFont="1" applyFill="1" applyBorder="1" applyAlignment="1">
      <alignment horizontal="center"/>
      <protection/>
    </xf>
    <xf numFmtId="189" fontId="56" fillId="44" borderId="19" xfId="58" applyNumberFormat="1" applyFont="1" applyFill="1" applyBorder="1" applyAlignment="1">
      <alignment horizontal="center"/>
      <protection/>
    </xf>
    <xf numFmtId="191" fontId="56" fillId="32" borderId="20" xfId="58" applyNumberFormat="1" applyFont="1" applyFill="1" applyBorder="1" applyAlignment="1">
      <alignment horizontal="center"/>
      <protection/>
    </xf>
    <xf numFmtId="187" fontId="22" fillId="44" borderId="0" xfId="58" applyNumberFormat="1" applyFont="1" applyFill="1" applyBorder="1" applyAlignment="1">
      <alignment horizontal="center"/>
      <protection/>
    </xf>
    <xf numFmtId="169" fontId="22" fillId="33" borderId="0" xfId="57" applyNumberFormat="1" applyFont="1" applyFill="1" applyBorder="1" applyAlignment="1">
      <alignment horizontal="left"/>
      <protection/>
    </xf>
    <xf numFmtId="195" fontId="56" fillId="44" borderId="0" xfId="58" applyNumberFormat="1" applyFont="1" applyFill="1" applyBorder="1" applyAlignment="1">
      <alignment horizontal="center"/>
      <protection/>
    </xf>
    <xf numFmtId="196" fontId="56" fillId="44" borderId="20" xfId="58" applyNumberFormat="1" applyFont="1" applyFill="1" applyBorder="1" applyAlignment="1">
      <alignment horizontal="center"/>
      <protection/>
    </xf>
    <xf numFmtId="194" fontId="56" fillId="44" borderId="19" xfId="58" applyNumberFormat="1" applyFont="1" applyFill="1" applyBorder="1" applyAlignment="1">
      <alignment horizontal="center"/>
      <protection/>
    </xf>
    <xf numFmtId="169" fontId="66" fillId="33" borderId="0" xfId="57" applyNumberFormat="1" applyFont="1" applyFill="1" applyBorder="1" applyAlignment="1">
      <alignment horizontal="left"/>
      <protection/>
    </xf>
    <xf numFmtId="202" fontId="22" fillId="33" borderId="0" xfId="58" applyNumberFormat="1" applyFont="1" applyFill="1" applyBorder="1" applyAlignment="1">
      <alignment horizontal="center"/>
      <protection/>
    </xf>
    <xf numFmtId="194" fontId="56" fillId="32" borderId="19" xfId="58" applyNumberFormat="1" applyFont="1" applyFill="1" applyBorder="1" applyAlignment="1">
      <alignment horizontal="center"/>
      <protection/>
    </xf>
    <xf numFmtId="190" fontId="56" fillId="44" borderId="0" xfId="58" applyNumberFormat="1" applyFont="1" applyFill="1" applyBorder="1" applyAlignment="1">
      <alignment horizontal="center"/>
      <protection/>
    </xf>
    <xf numFmtId="195" fontId="56" fillId="32" borderId="0" xfId="58" applyNumberFormat="1" applyFont="1" applyFill="1" applyBorder="1" applyAlignment="1">
      <alignment horizontal="center"/>
      <protection/>
    </xf>
    <xf numFmtId="196" fontId="56" fillId="32" borderId="20" xfId="58" applyNumberFormat="1" applyFont="1" applyFill="1" applyBorder="1" applyAlignment="1">
      <alignment horizontal="center"/>
      <protection/>
    </xf>
    <xf numFmtId="199" fontId="188" fillId="32" borderId="0" xfId="0" applyNumberFormat="1" applyFont="1" applyFill="1" applyAlignment="1" applyProtection="1">
      <alignment horizontal="center"/>
      <protection/>
    </xf>
    <xf numFmtId="199" fontId="188" fillId="54" borderId="0" xfId="0" applyNumberFormat="1" applyFont="1" applyFill="1" applyAlignment="1" applyProtection="1">
      <alignment horizontal="center"/>
      <protection/>
    </xf>
    <xf numFmtId="38" fontId="179" fillId="42" borderId="41" xfId="65" applyNumberFormat="1" applyFont="1" applyFill="1" applyBorder="1" applyAlignment="1" applyProtection="1">
      <alignment horizontal="center"/>
      <protection/>
    </xf>
    <xf numFmtId="38" fontId="179" fillId="42" borderId="42" xfId="65" applyNumberFormat="1" applyFont="1" applyFill="1" applyBorder="1" applyAlignment="1" applyProtection="1">
      <alignment horizontal="center"/>
      <protection/>
    </xf>
    <xf numFmtId="38" fontId="179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78" fontId="189" fillId="44" borderId="27" xfId="57" applyNumberFormat="1" applyFont="1" applyFill="1" applyBorder="1" applyAlignment="1" applyProtection="1">
      <alignment horizontal="center" vertical="center"/>
      <protection locked="0"/>
    </xf>
    <xf numFmtId="178" fontId="189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0" fillId="45" borderId="64" xfId="65" applyNumberFormat="1" applyFont="1" applyFill="1" applyBorder="1" applyAlignment="1" applyProtection="1">
      <alignment horizontal="center"/>
      <protection/>
    </xf>
    <xf numFmtId="38" fontId="160" fillId="45" borderId="20" xfId="65" applyNumberFormat="1" applyFont="1" applyFill="1" applyBorder="1" applyAlignment="1" applyProtection="1">
      <alignment horizontal="center"/>
      <protection/>
    </xf>
    <xf numFmtId="38" fontId="160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90" fillId="33" borderId="60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29" xfId="61" applyFont="1" applyFill="1" applyBorder="1" applyAlignment="1" applyProtection="1">
      <alignment horizontal="center"/>
      <protection/>
    </xf>
    <xf numFmtId="0" fontId="166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7" fontId="191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79" fontId="153" fillId="33" borderId="27" xfId="62" applyNumberFormat="1" applyFont="1" applyFill="1" applyBorder="1" applyAlignment="1" applyProtection="1" quotePrefix="1">
      <alignment horizontal="center" vertical="center"/>
      <protection locked="0"/>
    </xf>
    <xf numFmtId="179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7" xfId="53" applyFill="1" applyBorder="1" applyAlignment="1" applyProtection="1">
      <alignment horizontal="center" vertical="center"/>
      <protection locked="0"/>
    </xf>
    <xf numFmtId="0" fontId="192" fillId="36" borderId="42" xfId="53" applyFont="1" applyFill="1" applyBorder="1" applyAlignment="1" applyProtection="1">
      <alignment horizontal="center" vertical="center"/>
      <protection locked="0"/>
    </xf>
    <xf numFmtId="0" fontId="192" fillId="36" borderId="28" xfId="53" applyFont="1" applyFill="1" applyBorder="1" applyAlignment="1" applyProtection="1">
      <alignment horizontal="center" vertical="center"/>
      <protection locked="0"/>
    </xf>
    <xf numFmtId="38" fontId="142" fillId="33" borderId="27" xfId="53" applyNumberFormat="1" applyFill="1" applyBorder="1" applyAlignment="1" applyProtection="1">
      <alignment horizontal="center" vertical="center"/>
      <protection locked="0"/>
    </xf>
    <xf numFmtId="38" fontId="193" fillId="33" borderId="42" xfId="53" applyNumberFormat="1" applyFont="1" applyFill="1" applyBorder="1" applyAlignment="1" applyProtection="1">
      <alignment horizontal="center" vertical="center"/>
      <protection locked="0"/>
    </xf>
    <xf numFmtId="38" fontId="193" fillId="33" borderId="28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7" fontId="157" fillId="33" borderId="27" xfId="60" applyNumberFormat="1" applyFont="1" applyFill="1" applyBorder="1" applyAlignment="1" applyProtection="1">
      <alignment horizontal="center"/>
      <protection/>
    </xf>
    <xf numFmtId="177" fontId="157" fillId="33" borderId="42" xfId="60" applyNumberFormat="1" applyFont="1" applyFill="1" applyBorder="1" applyAlignment="1" applyProtection="1">
      <alignment horizontal="center"/>
      <protection/>
    </xf>
    <xf numFmtId="177" fontId="157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198" fontId="197" fillId="47" borderId="42" xfId="65" applyNumberFormat="1" applyFont="1" applyFill="1" applyBorder="1" applyAlignment="1" applyProtection="1">
      <alignment horizontal="left"/>
      <protection/>
    </xf>
    <xf numFmtId="198" fontId="197" fillId="47" borderId="28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01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8" fillId="33" borderId="46" xfId="65" applyNumberFormat="1" applyFont="1" applyFill="1" applyBorder="1" applyAlignment="1" applyProtection="1">
      <alignment horizontal="center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1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77" fontId="4" fillId="32" borderId="27" xfId="60" applyNumberFormat="1" applyFont="1" applyFill="1" applyBorder="1" applyAlignment="1" applyProtection="1">
      <alignment horizontal="center"/>
      <protection/>
    </xf>
    <xf numFmtId="177" fontId="4" fillId="32" borderId="42" xfId="60" applyNumberFormat="1" applyFont="1" applyFill="1" applyBorder="1" applyAlignment="1" applyProtection="1">
      <alignment horizontal="center"/>
      <protection/>
    </xf>
    <xf numFmtId="177" fontId="4" fillId="32" borderId="28" xfId="60" applyNumberFormat="1" applyFont="1" applyFill="1" applyBorder="1" applyAlignment="1" applyProtection="1">
      <alignment horizontal="center"/>
      <protection/>
    </xf>
    <xf numFmtId="0" fontId="190" fillId="33" borderId="115" xfId="61" applyFont="1" applyFill="1" applyBorder="1" applyAlignment="1" applyProtection="1">
      <alignment horizontal="center"/>
      <protection/>
    </xf>
    <xf numFmtId="0" fontId="190" fillId="33" borderId="135" xfId="61" applyFont="1" applyFill="1" applyBorder="1" applyAlignment="1" applyProtection="1">
      <alignment horizontal="center"/>
      <protection/>
    </xf>
    <xf numFmtId="200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27" xfId="62" applyNumberFormat="1" applyFont="1" applyFill="1" applyBorder="1" applyAlignment="1" applyProtection="1" quotePrefix="1">
      <alignment horizontal="center" vertical="center"/>
      <protection/>
    </xf>
    <xf numFmtId="179" fontId="8" fillId="33" borderId="28" xfId="62" applyNumberFormat="1" applyFont="1" applyFill="1" applyBorder="1" applyAlignment="1" applyProtection="1" quotePrefix="1">
      <alignment horizontal="center" vertical="center"/>
      <protection/>
    </xf>
    <xf numFmtId="178" fontId="189" fillId="44" borderId="27" xfId="57" applyNumberFormat="1" applyFont="1" applyFill="1" applyBorder="1" applyAlignment="1" applyProtection="1">
      <alignment horizontal="center" vertical="center"/>
      <protection/>
    </xf>
    <xf numFmtId="178" fontId="189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0" fillId="36" borderId="27" xfId="53" applyFont="1" applyFill="1" applyBorder="1" applyAlignment="1" applyProtection="1">
      <alignment horizontal="center" vertical="center"/>
      <protection/>
    </xf>
    <xf numFmtId="0" fontId="200" fillId="36" borderId="42" xfId="53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1" sqref="F16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456</v>
      </c>
      <c r="C1" s="764"/>
      <c r="D1" s="764"/>
      <c r="E1" s="764"/>
      <c r="F1" s="765"/>
      <c r="G1" s="421" t="s">
        <v>244</v>
      </c>
      <c r="H1" s="414"/>
      <c r="I1" s="751">
        <v>1210825120299</v>
      </c>
      <c r="J1" s="752"/>
      <c r="K1" s="415"/>
      <c r="L1" s="423" t="s">
        <v>245</v>
      </c>
      <c r="M1" s="419">
        <v>5592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 t="s">
        <v>455</v>
      </c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НОИ-ФОНД ГВРС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294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30.06.2020 г.</v>
      </c>
      <c r="G11" s="384">
        <f>+P5-1</f>
        <v>2019</v>
      </c>
      <c r="H11" s="15"/>
      <c r="I11" s="576" t="str">
        <f>+O8</f>
        <v>30.06.2020 г.</v>
      </c>
      <c r="J11" s="385">
        <f>+P5-1</f>
        <v>2019</v>
      </c>
      <c r="K11" s="16"/>
      <c r="L11" s="577" t="str">
        <f>+O8</f>
        <v>30.06.2020 г.</v>
      </c>
      <c r="M11" s="386">
        <f>+P5-1</f>
        <v>2019</v>
      </c>
      <c r="N11" s="16"/>
      <c r="O11" s="578" t="str">
        <f>+O8</f>
        <v>30.06.2020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8175</v>
      </c>
      <c r="G15" s="217">
        <v>23272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8175</v>
      </c>
      <c r="P15" s="366">
        <f t="shared" si="0"/>
        <v>23272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1061</v>
      </c>
      <c r="G18" s="217">
        <v>8171</v>
      </c>
      <c r="H18" s="15"/>
      <c r="I18" s="218"/>
      <c r="J18" s="217"/>
      <c r="K18" s="215"/>
      <c r="L18" s="218"/>
      <c r="M18" s="217"/>
      <c r="N18" s="215"/>
      <c r="O18" s="353">
        <f t="shared" si="0"/>
        <v>1061</v>
      </c>
      <c r="P18" s="366">
        <f t="shared" si="0"/>
        <v>8171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/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0</v>
      </c>
      <c r="P20" s="400">
        <f t="shared" si="0"/>
        <v>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1936336</v>
      </c>
      <c r="G22" s="219">
        <v>4620493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1936336</v>
      </c>
      <c r="P22" s="400">
        <f t="shared" si="0"/>
        <v>4620493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340</v>
      </c>
      <c r="G24" s="221">
        <v>3721</v>
      </c>
      <c r="H24" s="15"/>
      <c r="I24" s="222"/>
      <c r="J24" s="221"/>
      <c r="K24" s="215"/>
      <c r="L24" s="222"/>
      <c r="M24" s="221"/>
      <c r="N24" s="215"/>
      <c r="O24" s="349">
        <f t="shared" si="0"/>
        <v>340</v>
      </c>
      <c r="P24" s="372">
        <f t="shared" si="0"/>
        <v>3721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1945912</v>
      </c>
      <c r="G25" s="223">
        <f>+ROUND(+SUM(G15,G16,G18,G19,G20,G21,G22,G23,G24),0)</f>
        <v>4655657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1945912</v>
      </c>
      <c r="P25" s="351">
        <f>+ROUND(+SUM(P15,P16,P18,P19,P20,P21,P22,P23,P24),0)</f>
        <v>4655657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/>
      <c r="G37" s="235"/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0</v>
      </c>
      <c r="P37" s="351">
        <f t="shared" si="2"/>
        <v>0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1945912</v>
      </c>
      <c r="G50" s="245">
        <f>+ROUND(G25+G30+G37+G42+G48,0)</f>
        <v>4655657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1945912</v>
      </c>
      <c r="P50" s="368">
        <f>+ROUND(P25+P30+P37+P42+P48,0)</f>
        <v>4655657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42489</v>
      </c>
      <c r="G53" s="247">
        <v>107427</v>
      </c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42489</v>
      </c>
      <c r="P53" s="347">
        <f t="shared" si="4"/>
        <v>107427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852</v>
      </c>
      <c r="G54" s="221">
        <v>24236</v>
      </c>
      <c r="H54" s="15"/>
      <c r="I54" s="222"/>
      <c r="J54" s="221"/>
      <c r="K54" s="215"/>
      <c r="L54" s="222"/>
      <c r="M54" s="221"/>
      <c r="N54" s="215"/>
      <c r="O54" s="349">
        <f t="shared" si="4"/>
        <v>852</v>
      </c>
      <c r="P54" s="372">
        <f t="shared" si="4"/>
        <v>24236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115</v>
      </c>
      <c r="G55" s="221">
        <v>1420</v>
      </c>
      <c r="H55" s="15"/>
      <c r="I55" s="222"/>
      <c r="J55" s="221"/>
      <c r="K55" s="215"/>
      <c r="L55" s="222"/>
      <c r="M55" s="221"/>
      <c r="N55" s="215"/>
      <c r="O55" s="349">
        <f t="shared" si="4"/>
        <v>115</v>
      </c>
      <c r="P55" s="372">
        <f t="shared" si="4"/>
        <v>1420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43749</v>
      </c>
      <c r="G56" s="221">
        <v>84780</v>
      </c>
      <c r="H56" s="15"/>
      <c r="I56" s="222"/>
      <c r="J56" s="221"/>
      <c r="K56" s="215"/>
      <c r="L56" s="222"/>
      <c r="M56" s="221"/>
      <c r="N56" s="215"/>
      <c r="O56" s="349">
        <f t="shared" si="4"/>
        <v>43749</v>
      </c>
      <c r="P56" s="372">
        <f t="shared" si="4"/>
        <v>84780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1074</v>
      </c>
      <c r="G57" s="221">
        <v>-28127</v>
      </c>
      <c r="H57" s="15"/>
      <c r="I57" s="222"/>
      <c r="J57" s="221"/>
      <c r="K57" s="215"/>
      <c r="L57" s="222"/>
      <c r="M57" s="221"/>
      <c r="N57" s="215"/>
      <c r="O57" s="349">
        <f t="shared" si="4"/>
        <v>1074</v>
      </c>
      <c r="P57" s="372">
        <f t="shared" si="4"/>
        <v>-28127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88279</v>
      </c>
      <c r="G58" s="249">
        <f>+ROUND(+SUM(G53:G57),0)</f>
        <v>189736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88279</v>
      </c>
      <c r="P58" s="370">
        <f>+ROUND(+SUM(P53:P57),0)</f>
        <v>189736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/>
      <c r="G61" s="221"/>
      <c r="H61" s="15"/>
      <c r="I61" s="222"/>
      <c r="J61" s="221"/>
      <c r="K61" s="215"/>
      <c r="L61" s="222"/>
      <c r="M61" s="221"/>
      <c r="N61" s="215"/>
      <c r="O61" s="349">
        <f t="shared" si="5"/>
        <v>0</v>
      </c>
      <c r="P61" s="372">
        <f t="shared" si="5"/>
        <v>0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0</v>
      </c>
      <c r="P62" s="372">
        <f t="shared" si="5"/>
        <v>0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0</v>
      </c>
      <c r="G65" s="249">
        <f>+ROUND(+SUM(G60:G63),0)</f>
        <v>0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0</v>
      </c>
      <c r="P65" s="370">
        <f>+ROUND(+SUM(P60:P63),0)</f>
        <v>0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1065768</v>
      </c>
      <c r="G71" s="247">
        <v>4477796</v>
      </c>
      <c r="H71" s="15"/>
      <c r="I71" s="248"/>
      <c r="J71" s="247"/>
      <c r="K71" s="215"/>
      <c r="L71" s="248"/>
      <c r="M71" s="247"/>
      <c r="N71" s="215"/>
      <c r="O71" s="354">
        <f>+ROUND(+F71+I71+L71,0)</f>
        <v>1065768</v>
      </c>
      <c r="P71" s="347">
        <f>+ROUND(+G71+J71+M71,0)</f>
        <v>4477796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1065768</v>
      </c>
      <c r="G73" s="249">
        <f>+ROUND(+SUM(G71:G72),0)</f>
        <v>4477796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1065768</v>
      </c>
      <c r="P73" s="370">
        <f>+ROUND(+SUM(P71:P72),0)</f>
        <v>4477796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1154047</v>
      </c>
      <c r="G79" s="260">
        <f>+ROUND(G58+G65+G69+G73+G77,0)</f>
        <v>4667532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1154047</v>
      </c>
      <c r="P79" s="380">
        <f>+ROUND(P58+P65+P69+P73+P77,0)</f>
        <v>4667532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3829</v>
      </c>
      <c r="G81" s="217"/>
      <c r="H81" s="15"/>
      <c r="I81" s="218"/>
      <c r="J81" s="217"/>
      <c r="K81" s="215"/>
      <c r="L81" s="218"/>
      <c r="M81" s="217"/>
      <c r="N81" s="215"/>
      <c r="O81" s="353">
        <f>+ROUND(+F81+I81+L81,0)</f>
        <v>3829</v>
      </c>
      <c r="P81" s="366">
        <f>+ROUND(+G81+J81+M81,0)</f>
        <v>0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3829</v>
      </c>
      <c r="G83" s="258">
        <f>+ROUND(G81+G82,0)</f>
        <v>0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3829</v>
      </c>
      <c r="P83" s="375">
        <f>+ROUND(P81+P82,0)</f>
        <v>0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795694</v>
      </c>
      <c r="G85" s="279">
        <f>+ROUND(G50,0)-ROUND(G79,0)+ROUND(G83,0)</f>
        <v>-11875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795694</v>
      </c>
      <c r="P85" s="377">
        <f>+ROUND(P50,0)-ROUND(P79,0)+ROUND(P83,0)</f>
        <v>-11875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-795694</v>
      </c>
      <c r="G86" s="281">
        <f>+ROUND(G103,0)+ROUND(G122,0)+ROUND(G129,0)-ROUND(G134,0)</f>
        <v>11875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-795694</v>
      </c>
      <c r="P86" s="379">
        <f>+ROUND(P103,0)+ROUND(P122,0)+ROUND(P129,0)-ROUND(P134,0)</f>
        <v>11875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>
        <v>4261780</v>
      </c>
      <c r="G99" s="217">
        <v>20143166</v>
      </c>
      <c r="H99" s="15"/>
      <c r="I99" s="218"/>
      <c r="J99" s="217"/>
      <c r="K99" s="215"/>
      <c r="L99" s="218"/>
      <c r="M99" s="217"/>
      <c r="N99" s="215"/>
      <c r="O99" s="353">
        <f>+ROUND(+F99+I99+L99,0)</f>
        <v>4261780</v>
      </c>
      <c r="P99" s="366">
        <f>+ROUND(+G99+J99+M99,0)</f>
        <v>20143166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4261780</v>
      </c>
      <c r="G101" s="223">
        <f>+ROUND(+SUM(G99:G100),0)</f>
        <v>20143166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4261780</v>
      </c>
      <c r="P101" s="351">
        <f>+ROUND(+SUM(P99:P100),0)</f>
        <v>20143166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4261780</v>
      </c>
      <c r="G103" s="245">
        <f>+ROUND(G91+G97+G101,0)</f>
        <v>20143166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4261780</v>
      </c>
      <c r="P103" s="368">
        <f>+ROUND(P91+P97+P101,0)</f>
        <v>20143166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-972</v>
      </c>
      <c r="G118" s="247">
        <v>972</v>
      </c>
      <c r="H118" s="15"/>
      <c r="I118" s="248"/>
      <c r="J118" s="247"/>
      <c r="K118" s="215"/>
      <c r="L118" s="248"/>
      <c r="M118" s="247"/>
      <c r="N118" s="215"/>
      <c r="O118" s="354">
        <f>+ROUND(+F118+I118+L118,0)</f>
        <v>-972</v>
      </c>
      <c r="P118" s="347">
        <f>+ROUND(+G118+J118+M118,0)</f>
        <v>972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-972</v>
      </c>
      <c r="G120" s="249">
        <f>+ROUND(+SUM(G118:G119),0)</f>
        <v>972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0</v>
      </c>
      <c r="M120" s="249">
        <f>+ROUND(+SUM(M118:M119),0)</f>
        <v>0</v>
      </c>
      <c r="N120" s="215"/>
      <c r="O120" s="369">
        <f>+ROUND(+SUM(O118:O119),0)</f>
        <v>-972</v>
      </c>
      <c r="P120" s="370">
        <f>+ROUND(+SUM(P118:P119),0)</f>
        <v>972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-972</v>
      </c>
      <c r="G122" s="260">
        <f>+ROUND(G108+G112+G116+G120,0)</f>
        <v>972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0</v>
      </c>
      <c r="M122" s="260">
        <f>+ROUND(M108+M112+M116+M120,0)</f>
        <v>0</v>
      </c>
      <c r="N122" s="215"/>
      <c r="O122" s="373">
        <f>+ROUND(O108+O112+O116+O120,0)</f>
        <v>-972</v>
      </c>
      <c r="P122" s="380">
        <f>+ROUND(P108+P112+P116+P120,0)</f>
        <v>972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-1656</v>
      </c>
      <c r="G125" s="221">
        <v>-578</v>
      </c>
      <c r="H125" s="15"/>
      <c r="I125" s="222"/>
      <c r="J125" s="221"/>
      <c r="K125" s="215"/>
      <c r="L125" s="222"/>
      <c r="M125" s="221"/>
      <c r="N125" s="215"/>
      <c r="O125" s="349">
        <f t="shared" si="7"/>
        <v>-1656</v>
      </c>
      <c r="P125" s="372">
        <f t="shared" si="7"/>
        <v>-578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-6918</v>
      </c>
      <c r="G126" s="221">
        <v>593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-6918</v>
      </c>
      <c r="P126" s="372">
        <f t="shared" si="7"/>
        <v>593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-8574</v>
      </c>
      <c r="G129" s="258">
        <f>+ROUND(+SUM(G124,G125,G126,G128),0)</f>
        <v>15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-8574</v>
      </c>
      <c r="P129" s="375">
        <f>+ROUND(+SUM(P124,P125,P126,P128),0)</f>
        <v>15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81372069</v>
      </c>
      <c r="G131" s="217">
        <v>61239791</v>
      </c>
      <c r="H131" s="15"/>
      <c r="I131" s="218"/>
      <c r="J131" s="217"/>
      <c r="K131" s="215"/>
      <c r="L131" s="218"/>
      <c r="M131" s="217"/>
      <c r="N131" s="215"/>
      <c r="O131" s="353">
        <f aca="true" t="shared" si="8" ref="O131:P133">+ROUND(+F131+I131+L131,0)</f>
        <v>81372069</v>
      </c>
      <c r="P131" s="366">
        <f t="shared" si="8"/>
        <v>61239791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86419997</v>
      </c>
      <c r="G133" s="221">
        <v>81372069</v>
      </c>
      <c r="H133" s="15"/>
      <c r="I133" s="222"/>
      <c r="J133" s="221"/>
      <c r="K133" s="215"/>
      <c r="L133" s="222"/>
      <c r="M133" s="221"/>
      <c r="N133" s="215"/>
      <c r="O133" s="349">
        <f t="shared" si="8"/>
        <v>86419997</v>
      </c>
      <c r="P133" s="372">
        <f t="shared" si="8"/>
        <v>81372069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5047928</v>
      </c>
      <c r="G134" s="263">
        <f>+ROUND(+G133-G131-G132,0)</f>
        <v>20132278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0</v>
      </c>
      <c r="M134" s="263">
        <f>+ROUND(+M133-M131-M132,0)</f>
        <v>0</v>
      </c>
      <c r="N134" s="215"/>
      <c r="O134" s="382">
        <f>+ROUND(+O133-O131-O132,0)</f>
        <v>5047928</v>
      </c>
      <c r="P134" s="383">
        <f>+ROUND(+P133-P131-P132,0)</f>
        <v>20132278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5047928</v>
      </c>
      <c r="G142" s="525">
        <f>+G134+G140</f>
        <v>20132278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0</v>
      </c>
      <c r="M142" s="525">
        <f>+M134+M140</f>
        <v>0</v>
      </c>
      <c r="N142" s="215"/>
      <c r="O142" s="382">
        <f>+O134+O140</f>
        <v>5047928</v>
      </c>
      <c r="P142" s="383">
        <f>+P134+P140</f>
        <v>20132278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24072020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457</v>
      </c>
      <c r="G148" s="790"/>
      <c r="H148" s="790"/>
      <c r="I148" s="791"/>
      <c r="J148" s="334"/>
      <c r="K148" s="16"/>
      <c r="L148" s="334" t="s">
        <v>234</v>
      </c>
      <c r="M148" s="789" t="s">
        <v>458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86419997</v>
      </c>
      <c r="G160" s="553">
        <f>+G133+G139</f>
        <v>81372069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86419997</v>
      </c>
      <c r="P160" s="557">
        <f>+ROUND(+G160+J160+M160,0)</f>
        <v>81372069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86419997</v>
      </c>
      <c r="G161" s="550">
        <v>81372069</v>
      </c>
      <c r="I161" s="549"/>
      <c r="J161" s="550"/>
      <c r="K161" s="215"/>
      <c r="L161" s="549"/>
      <c r="M161" s="550"/>
      <c r="N161" s="215"/>
      <c r="O161" s="558">
        <f>+ROUND(+F161+I161+L161,0)</f>
        <v>86419997</v>
      </c>
      <c r="P161" s="559">
        <f>+ROUND(+G161+J161+M161,0)</f>
        <v>81372069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30.06.2020 г.</v>
      </c>
      <c r="G162" s="543">
        <f>+G11</f>
        <v>2019</v>
      </c>
      <c r="I162" s="581" t="str">
        <f>+I11</f>
        <v>30.06.2020 г.</v>
      </c>
      <c r="J162" s="545">
        <f>+J11</f>
        <v>2019</v>
      </c>
      <c r="K162" s="11"/>
      <c r="L162" s="582" t="str">
        <f>+L11</f>
        <v>30.06.2020 г.</v>
      </c>
      <c r="M162" s="548">
        <f>+M11</f>
        <v>2019</v>
      </c>
      <c r="N162" s="11"/>
      <c r="O162" s="583" t="str">
        <f>+O11</f>
        <v>30.06.2020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1" dxfId="141" operator="notEqual" stopIfTrue="1">
      <formula>0</formula>
    </cfRule>
  </conditionalFormatting>
  <conditionalFormatting sqref="B135 B144:E146 B143:D143">
    <cfRule type="cellIs" priority="286" dxfId="142" operator="notEqual" stopIfTrue="1">
      <formula>0</formula>
    </cfRule>
    <cfRule type="cellIs" priority="202" dxfId="143" operator="equal">
      <formula>0</formula>
    </cfRule>
  </conditionalFormatting>
  <conditionalFormatting sqref="F150:G151">
    <cfRule type="cellIs" priority="214" dxfId="144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4" operator="equal" stopIfTrue="1">
      <formula>"НЕРАВНЕНИЕ!"</formula>
    </cfRule>
  </conditionalFormatting>
  <conditionalFormatting sqref="L150:L151 N150:N151">
    <cfRule type="cellIs" priority="212" dxfId="144" operator="equal" stopIfTrue="1">
      <formula>"НЕРАВНЕНИЕ!"</formula>
    </cfRule>
  </conditionalFormatting>
  <conditionalFormatting sqref="F153:G154">
    <cfRule type="cellIs" priority="210" dxfId="144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4" operator="equal" stopIfTrue="1">
      <formula>"НЕРАВНЕНИЕ !"</formula>
    </cfRule>
  </conditionalFormatting>
  <conditionalFormatting sqref="L153:L154 N153:N154">
    <cfRule type="cellIs" priority="208" dxfId="144" operator="equal" stopIfTrue="1">
      <formula>"НЕРАВНЕНИЕ !"</formula>
    </cfRule>
  </conditionalFormatting>
  <conditionalFormatting sqref="L153:L154 O153:O154 F153:G154 I153:J154">
    <cfRule type="cellIs" priority="207" dxfId="144" operator="notEqual">
      <formula>0</formula>
    </cfRule>
  </conditionalFormatting>
  <conditionalFormatting sqref="L84">
    <cfRule type="cellIs" priority="188" dxfId="141" operator="notEqual" stopIfTrue="1">
      <formula>0</formula>
    </cfRule>
  </conditionalFormatting>
  <conditionalFormatting sqref="O84">
    <cfRule type="cellIs" priority="187" dxfId="141" operator="notEqual" stopIfTrue="1">
      <formula>0</formula>
    </cfRule>
  </conditionalFormatting>
  <conditionalFormatting sqref="L135">
    <cfRule type="cellIs" priority="197" dxfId="141" operator="notEqual" stopIfTrue="1">
      <formula>0</formula>
    </cfRule>
  </conditionalFormatting>
  <conditionalFormatting sqref="O135 O143:O146">
    <cfRule type="cellIs" priority="195" dxfId="141" operator="notEqual" stopIfTrue="1">
      <formula>0</formula>
    </cfRule>
  </conditionalFormatting>
  <conditionalFormatting sqref="M84 M135 M143:M146">
    <cfRule type="cellIs" priority="178" dxfId="141" operator="notEqual" stopIfTrue="1">
      <formula>0</formula>
    </cfRule>
  </conditionalFormatting>
  <conditionalFormatting sqref="M150:M151">
    <cfRule type="cellIs" priority="177" dxfId="144" operator="equal" stopIfTrue="1">
      <formula>"НЕРАВНЕНИЕ!"</formula>
    </cfRule>
  </conditionalFormatting>
  <conditionalFormatting sqref="M153:M154">
    <cfRule type="cellIs" priority="176" dxfId="144" operator="equal" stopIfTrue="1">
      <formula>"НЕРАВНЕНИЕ !"</formula>
    </cfRule>
  </conditionalFormatting>
  <conditionalFormatting sqref="M153:M154">
    <cfRule type="cellIs" priority="175" dxfId="144" operator="notEqual">
      <formula>0</formula>
    </cfRule>
  </conditionalFormatting>
  <conditionalFormatting sqref="P84 P135 P143:P146">
    <cfRule type="cellIs" priority="174" dxfId="141" operator="notEqual" stopIfTrue="1">
      <formula>0</formula>
    </cfRule>
  </conditionalFormatting>
  <conditionalFormatting sqref="P150:P151">
    <cfRule type="cellIs" priority="173" dxfId="144" operator="equal" stopIfTrue="1">
      <formula>"НЕРАВНЕНИЕ!"</formula>
    </cfRule>
  </conditionalFormatting>
  <conditionalFormatting sqref="P153:P154">
    <cfRule type="cellIs" priority="172" dxfId="144" operator="equal" stopIfTrue="1">
      <formula>"НЕРАВНЕНИЕ !"</formula>
    </cfRule>
  </conditionalFormatting>
  <conditionalFormatting sqref="P153:P154">
    <cfRule type="cellIs" priority="171" dxfId="144" operator="notEqual">
      <formula>0</formula>
    </cfRule>
  </conditionalFormatting>
  <conditionalFormatting sqref="B3">
    <cfRule type="cellIs" priority="167" dxfId="145" operator="equal" stopIfTrue="1">
      <formula>0</formula>
    </cfRule>
  </conditionalFormatting>
  <conditionalFormatting sqref="G2:H2">
    <cfRule type="cellIs" priority="165" dxfId="144" operator="equal">
      <formula>"отчетено НЕРАВНЕНИЕ в таблица 'Status'!"</formula>
    </cfRule>
    <cfRule type="cellIs" priority="166" dxfId="146" operator="equal">
      <formula>0</formula>
    </cfRule>
  </conditionalFormatting>
  <conditionalFormatting sqref="J2">
    <cfRule type="cellIs" priority="164" dxfId="144" operator="notEqual">
      <formula>0</formula>
    </cfRule>
  </conditionalFormatting>
  <conditionalFormatting sqref="M2:N2">
    <cfRule type="cellIs" priority="163" dxfId="144" operator="notEqual">
      <formula>0</formula>
    </cfRule>
  </conditionalFormatting>
  <conditionalFormatting sqref="H1">
    <cfRule type="cellIs" priority="161" dxfId="144" operator="equal">
      <formula>"отчетено НЕРАВНЕНИЕ в таблица 'Status'!"</formula>
    </cfRule>
    <cfRule type="cellIs" priority="162" dxfId="146" operator="equal">
      <formula>0</formula>
    </cfRule>
  </conditionalFormatting>
  <conditionalFormatting sqref="K1">
    <cfRule type="cellIs" priority="160" dxfId="144" operator="notEqual">
      <formula>0</formula>
    </cfRule>
  </conditionalFormatting>
  <conditionalFormatting sqref="N1">
    <cfRule type="cellIs" priority="158" dxfId="144" operator="notEqual">
      <formula>0</formula>
    </cfRule>
  </conditionalFormatting>
  <conditionalFormatting sqref="P1">
    <cfRule type="cellIs" priority="157" dxfId="145" operator="equal" stopIfTrue="1">
      <formula>0</formula>
    </cfRule>
  </conditionalFormatting>
  <conditionalFormatting sqref="S1:T1">
    <cfRule type="cellIs" priority="141" dxfId="147" operator="between" stopIfTrue="1">
      <formula>1000000000000</formula>
      <formula>9999999999999990</formula>
    </cfRule>
    <cfRule type="cellIs" priority="142" dxfId="148" operator="between" stopIfTrue="1">
      <formula>10000000000</formula>
      <formula>999999999999</formula>
    </cfRule>
    <cfRule type="cellIs" priority="143" dxfId="149" operator="between" stopIfTrue="1">
      <formula>1000000</formula>
      <formula>99999999</formula>
    </cfRule>
    <cfRule type="cellIs" priority="144" dxfId="150" operator="between" stopIfTrue="1">
      <formula>100</formula>
      <formula>9999</formula>
    </cfRule>
  </conditionalFormatting>
  <conditionalFormatting sqref="B84">
    <cfRule type="cellIs" priority="140" dxfId="142" operator="notEqual" stopIfTrue="1">
      <formula>0</formula>
    </cfRule>
    <cfRule type="cellIs" priority="139" dxfId="151" operator="equal">
      <formula>0</formula>
    </cfRule>
  </conditionalFormatting>
  <conditionalFormatting sqref="B127 R127">
    <cfRule type="expression" priority="138" dxfId="152" stopIfTrue="1">
      <formula>$M$1=9900</formula>
    </cfRule>
  </conditionalFormatting>
  <conditionalFormatting sqref="F145">
    <cfRule type="cellIs" priority="137" dxfId="144" operator="notEqual" stopIfTrue="1">
      <formula>0</formula>
    </cfRule>
  </conditionalFormatting>
  <conditionalFormatting sqref="G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B5:C5">
    <cfRule type="cellIs" priority="29" dxfId="143" operator="equal" stopIfTrue="1">
      <formula>0</formula>
    </cfRule>
  </conditionalFormatting>
  <conditionalFormatting sqref="F168:G168">
    <cfRule type="cellIs" priority="23" dxfId="144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4" operator="notEqual">
      <formula>0</formula>
    </cfRule>
  </conditionalFormatting>
  <conditionalFormatting sqref="F164">
    <cfRule type="cellIs" priority="28" dxfId="146" operator="equal">
      <formula>0</formula>
    </cfRule>
  </conditionalFormatting>
  <conditionalFormatting sqref="G164">
    <cfRule type="cellIs" priority="27" dxfId="146" operator="equal">
      <formula>0</formula>
    </cfRule>
  </conditionalFormatting>
  <conditionalFormatting sqref="O164">
    <cfRule type="cellIs" priority="26" dxfId="146" operator="equal">
      <formula>0</formula>
    </cfRule>
  </conditionalFormatting>
  <conditionalFormatting sqref="P164">
    <cfRule type="cellIs" priority="25" dxfId="146" operator="equal">
      <formula>0</formula>
    </cfRule>
  </conditionalFormatting>
  <conditionalFormatting sqref="O168 I168:J168">
    <cfRule type="cellIs" priority="22" dxfId="144" operator="equal" stopIfTrue="1">
      <formula>"НЕРАВНЕНИЕ !"</formula>
    </cfRule>
  </conditionalFormatting>
  <conditionalFormatting sqref="L168 N168">
    <cfRule type="cellIs" priority="21" dxfId="144" operator="equal" stopIfTrue="1">
      <formula>"НЕРАВНЕНИЕ !"</formula>
    </cfRule>
  </conditionalFormatting>
  <conditionalFormatting sqref="L168 O168 F168:G168 I168:J168">
    <cfRule type="cellIs" priority="20" dxfId="144" operator="notEqual">
      <formula>0</formula>
    </cfRule>
  </conditionalFormatting>
  <conditionalFormatting sqref="M168">
    <cfRule type="cellIs" priority="19" dxfId="144" operator="equal" stopIfTrue="1">
      <formula>"НЕРАВНЕНИЕ !"</formula>
    </cfRule>
  </conditionalFormatting>
  <conditionalFormatting sqref="M168">
    <cfRule type="cellIs" priority="18" dxfId="144" operator="notEqual">
      <formula>0</formula>
    </cfRule>
  </conditionalFormatting>
  <conditionalFormatting sqref="P168">
    <cfRule type="cellIs" priority="17" dxfId="144" operator="equal" stopIfTrue="1">
      <formula>"НЕРАВНЕНИЕ !"</formula>
    </cfRule>
  </conditionalFormatting>
  <conditionalFormatting sqref="I164">
    <cfRule type="cellIs" priority="15" dxfId="146" operator="equal">
      <formula>0</formula>
    </cfRule>
  </conditionalFormatting>
  <conditionalFormatting sqref="J164">
    <cfRule type="cellIs" priority="14" dxfId="146" operator="equal">
      <formula>0</formula>
    </cfRule>
  </conditionalFormatting>
  <conditionalFormatting sqref="L164">
    <cfRule type="cellIs" priority="13" dxfId="146" operator="equal">
      <formula>0</formula>
    </cfRule>
  </conditionalFormatting>
  <conditionalFormatting sqref="M164">
    <cfRule type="cellIs" priority="12" dxfId="146" operator="equal">
      <formula>0</formula>
    </cfRule>
  </conditionalFormatting>
  <conditionalFormatting sqref="F167:G167">
    <cfRule type="cellIs" priority="10" dxfId="144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4" operator="equal" stopIfTrue="1">
      <formula>"НЕРАВНЕНИЕ!"</formula>
    </cfRule>
  </conditionalFormatting>
  <conditionalFormatting sqref="L167 N167">
    <cfRule type="cellIs" priority="8" dxfId="144" operator="equal" stopIfTrue="1">
      <formula>"НЕРАВНЕНИЕ!"</formula>
    </cfRule>
  </conditionalFormatting>
  <conditionalFormatting sqref="M167">
    <cfRule type="cellIs" priority="7" dxfId="144" operator="equal" stopIfTrue="1">
      <formula>"НЕРАВНЕНИЕ!"</formula>
    </cfRule>
  </conditionalFormatting>
  <conditionalFormatting sqref="P167">
    <cfRule type="cellIs" priority="6" dxfId="144" operator="equal" stopIfTrue="1">
      <formula>"НЕРАВНЕНИЕ!"</formula>
    </cfRule>
  </conditionalFormatting>
  <conditionalFormatting sqref="O170:P171 L170:M171 I170:J171 F170:G171">
    <cfRule type="cellIs" priority="5" dxfId="153" operator="equal" stopIfTrue="1">
      <formula>0</formula>
    </cfRule>
  </conditionalFormatting>
  <conditionalFormatting sqref="O173:P174">
    <cfRule type="cellIs" priority="4" dxfId="153" operator="equal" stopIfTrue="1">
      <formula>0</formula>
    </cfRule>
  </conditionalFormatting>
  <conditionalFormatting sqref="B6:C6">
    <cfRule type="cellIs" priority="3" dxfId="143" operator="equal" stopIfTrue="1">
      <formula>0</formula>
    </cfRule>
  </conditionalFormatting>
  <conditionalFormatting sqref="M1">
    <cfRule type="cellIs" priority="2" dxfId="145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" sqref="F1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НОИ-ФОНД ГВРС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1210825120299</v>
      </c>
      <c r="J1" s="806"/>
      <c r="K1" s="427"/>
      <c r="L1" s="428" t="s">
        <v>245</v>
      </c>
      <c r="M1" s="429">
        <f>+'Cash-Flow-2020-Leva'!M1</f>
        <v>5592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 t="str">
        <f>+'Cash-Flow-2020-Leva'!M3:P3</f>
        <v>Vanya.Borisova@nssi.bg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НОИ-ФОНД ГВРС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30.06.2020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30.06.2020 г.</v>
      </c>
      <c r="G11" s="384">
        <f>+'Cash-Flow-2020-Leva'!G11</f>
        <v>2019</v>
      </c>
      <c r="H11" s="5"/>
      <c r="I11" s="576" t="str">
        <f>+O8</f>
        <v>30.06.2020 г.</v>
      </c>
      <c r="J11" s="385">
        <f>+'Cash-Flow-2020-Leva'!J11</f>
        <v>2019</v>
      </c>
      <c r="K11" s="5"/>
      <c r="L11" s="577" t="str">
        <f>+O8</f>
        <v>30.06.2020 г.</v>
      </c>
      <c r="M11" s="386">
        <f>+'Cash-Flow-2020-Leva'!M11</f>
        <v>2019</v>
      </c>
      <c r="N11" s="450"/>
      <c r="O11" s="578" t="str">
        <f>+O8</f>
        <v>30.06.2020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8.175</v>
      </c>
      <c r="G15" s="243">
        <f>+'Cash-Flow-2020-Leva'!G15/1000</f>
        <v>23.272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8.175</v>
      </c>
      <c r="P15" s="366">
        <f aca="true" t="shared" si="1" ref="P15:P24">+G15+J15+M15</f>
        <v>23.272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1.061</v>
      </c>
      <c r="G18" s="243">
        <f>+'Cash-Flow-2020-Leva'!G18/1000</f>
        <v>8.171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1.061</v>
      </c>
      <c r="P18" s="366">
        <f t="shared" si="1"/>
        <v>8.171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1936.336</v>
      </c>
      <c r="G22" s="266">
        <f>+'Cash-Flow-2020-Leva'!G22/1000</f>
        <v>4620.493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1936.336</v>
      </c>
      <c r="P22" s="400">
        <f t="shared" si="1"/>
        <v>4620.493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0.34</v>
      </c>
      <c r="G24" s="255">
        <f>+'Cash-Flow-2020-Leva'!G24/1000</f>
        <v>3.721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0.34</v>
      </c>
      <c r="P24" s="372">
        <f t="shared" si="1"/>
        <v>3.721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1945.912</v>
      </c>
      <c r="G25" s="223">
        <f>+SUM(G15,G16,G18,G19,G20,G21,G22,G23,G24)</f>
        <v>4655.657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1945.912</v>
      </c>
      <c r="P25" s="351">
        <f>+SUM(P15,P16,P18,P19,P20,P21,P22,P23,P24)</f>
        <v>4655.657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0</v>
      </c>
      <c r="G37" s="223">
        <f>+'Cash-Flow-2020-Leva'!G37/1000</f>
        <v>0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0</v>
      </c>
      <c r="P37" s="351">
        <f t="shared" si="3"/>
        <v>0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1945.912</v>
      </c>
      <c r="G50" s="245">
        <f>+G25+G30+G37+G42+G48</f>
        <v>4655.657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1945.912</v>
      </c>
      <c r="P50" s="368">
        <f>+P25+P30+P37+P42+P48</f>
        <v>4655.657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42.489</v>
      </c>
      <c r="G53" s="216">
        <f>+'Cash-Flow-2020-Leva'!G53/1000</f>
        <v>107.427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42.489</v>
      </c>
      <c r="P53" s="347">
        <f t="shared" si="5"/>
        <v>107.427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0.852</v>
      </c>
      <c r="G54" s="255">
        <f>+'Cash-Flow-2020-Leva'!G54/1000</f>
        <v>24.236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0.852</v>
      </c>
      <c r="P54" s="372">
        <f t="shared" si="5"/>
        <v>24.236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0.115</v>
      </c>
      <c r="G55" s="255">
        <f>+'Cash-Flow-2020-Leva'!G55/1000</f>
        <v>1.42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0.115</v>
      </c>
      <c r="P55" s="372">
        <f t="shared" si="5"/>
        <v>1.42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43.749</v>
      </c>
      <c r="G56" s="255">
        <f>+'Cash-Flow-2020-Leva'!G56/1000</f>
        <v>84.78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43.749</v>
      </c>
      <c r="P56" s="372">
        <f t="shared" si="5"/>
        <v>84.78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1.074</v>
      </c>
      <c r="G57" s="255">
        <f>+'Cash-Flow-2020-Leva'!G57/1000</f>
        <v>-28.127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1.074</v>
      </c>
      <c r="P57" s="372">
        <f t="shared" si="5"/>
        <v>-28.127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88.279</v>
      </c>
      <c r="G58" s="249">
        <f>+SUM(G53:G57)</f>
        <v>189.736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88.279</v>
      </c>
      <c r="P58" s="370">
        <f>+SUM(P53:P57)</f>
        <v>189.736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0</v>
      </c>
      <c r="G61" s="255">
        <f>+'Cash-Flow-2020-Leva'!G61/1000</f>
        <v>0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0</v>
      </c>
      <c r="P61" s="372">
        <f t="shared" si="6"/>
        <v>0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0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0</v>
      </c>
      <c r="G65" s="249">
        <f>+SUM(G60:G63)</f>
        <v>0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0</v>
      </c>
      <c r="P65" s="370">
        <f>+SUM(P60:P63)</f>
        <v>0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1065.768</v>
      </c>
      <c r="G71" s="216">
        <f>+'Cash-Flow-2020-Leva'!G71/1000</f>
        <v>4477.796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1065.768</v>
      </c>
      <c r="P71" s="347">
        <f>+G71+J71+M71</f>
        <v>4477.796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1065.768</v>
      </c>
      <c r="G73" s="249">
        <f>+SUM(G71:G72)</f>
        <v>4477.796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1065.768</v>
      </c>
      <c r="P73" s="370">
        <f>+SUM(P71:P72)</f>
        <v>4477.796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1154.047</v>
      </c>
      <c r="G79" s="260">
        <f>+G58+G65+G69+G73+G77</f>
        <v>4667.532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1154.047</v>
      </c>
      <c r="P79" s="380">
        <f>+P58+P65+P69+P73+P77</f>
        <v>4667.532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3.829</v>
      </c>
      <c r="G81" s="243">
        <f>+'Cash-Flow-2020-Leva'!G81/1000</f>
        <v>0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3.829</v>
      </c>
      <c r="P81" s="366">
        <f>+G81+J81+M81</f>
        <v>0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3.829</v>
      </c>
      <c r="G83" s="258">
        <f>+G81+G82</f>
        <v>0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3.829</v>
      </c>
      <c r="P83" s="375">
        <f>+P81+P82</f>
        <v>0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795.694</v>
      </c>
      <c r="G85" s="279">
        <f>+G50-G79+G83</f>
        <v>-11.875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795.694</v>
      </c>
      <c r="P85" s="377">
        <f>+P50-P79+P83</f>
        <v>-11.875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-795.6939999999995</v>
      </c>
      <c r="G86" s="281">
        <f>+G103+G122+G129-G134</f>
        <v>11.874999999996362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-795.6939999999995</v>
      </c>
      <c r="P86" s="379">
        <f>+P103+P122+P129-P134</f>
        <v>11.874999999996362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4261.78</v>
      </c>
      <c r="G99" s="243">
        <f>+'Cash-Flow-2020-Leva'!G99/1000</f>
        <v>20143.166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4261.78</v>
      </c>
      <c r="P99" s="366">
        <f>+G99+J99+M99</f>
        <v>20143.166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4261.78</v>
      </c>
      <c r="G101" s="223">
        <f>+SUM(G99:G100)</f>
        <v>20143.166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4261.78</v>
      </c>
      <c r="P101" s="351">
        <f>+SUM(P99:P100)</f>
        <v>20143.166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4261.78</v>
      </c>
      <c r="G103" s="245">
        <f>+G91+G97+G101</f>
        <v>20143.166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4261.78</v>
      </c>
      <c r="P103" s="368">
        <f>+P91+P97+P101</f>
        <v>20143.166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-0.972</v>
      </c>
      <c r="G118" s="216">
        <f>+'Cash-Flow-2020-Leva'!G118/1000</f>
        <v>0.972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0</v>
      </c>
      <c r="M118" s="216">
        <f>+'Cash-Flow-2020-Leva'!M118/1000</f>
        <v>0</v>
      </c>
      <c r="N118" s="451"/>
      <c r="O118" s="354">
        <f>+F118+I118+L118</f>
        <v>-0.972</v>
      </c>
      <c r="P118" s="347">
        <f>+G118+J118+M118</f>
        <v>0.972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-0.972</v>
      </c>
      <c r="G120" s="249">
        <f>+SUM(G118:G119)</f>
        <v>0.972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0</v>
      </c>
      <c r="M120" s="249">
        <f>+SUM(M118:M119)</f>
        <v>0</v>
      </c>
      <c r="N120" s="451"/>
      <c r="O120" s="369">
        <f>+SUM(O118:O119)</f>
        <v>-0.972</v>
      </c>
      <c r="P120" s="370">
        <f>+SUM(P118:P119)</f>
        <v>0.972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-0.972</v>
      </c>
      <c r="G122" s="260">
        <f>+G108+G112+G116+G120</f>
        <v>0.972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0</v>
      </c>
      <c r="M122" s="260">
        <f>+M108+M112+M116+M120</f>
        <v>0</v>
      </c>
      <c r="N122" s="451"/>
      <c r="O122" s="373">
        <f>+O108+O112+O116+O120</f>
        <v>-0.972</v>
      </c>
      <c r="P122" s="380">
        <f>+P108+P112+P116+P120</f>
        <v>0.972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-1.656</v>
      </c>
      <c r="G125" s="255">
        <f>+'Cash-Flow-2020-Leva'!G125/1000</f>
        <v>-0.578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-1.656</v>
      </c>
      <c r="P125" s="372">
        <f t="shared" si="8"/>
        <v>-0.578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-6.918</v>
      </c>
      <c r="G126" s="255">
        <f>+'Cash-Flow-2020-Leva'!G126/1000</f>
        <v>0.593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-6.918</v>
      </c>
      <c r="P126" s="372">
        <f t="shared" si="8"/>
        <v>0.593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-8.574</v>
      </c>
      <c r="G129" s="258">
        <f>+SUM(G124,G125,G126,G128)</f>
        <v>0.015000000000000013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-8.574</v>
      </c>
      <c r="P129" s="375">
        <f>+SUM(P124,P125,P126,P128)</f>
        <v>0.015000000000000013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81372.069</v>
      </c>
      <c r="G131" s="243">
        <f>+'Cash-Flow-2020-Leva'!G131/1000</f>
        <v>61239.791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0</v>
      </c>
      <c r="M131" s="243">
        <f>+'Cash-Flow-2020-Leva'!M131/1000</f>
        <v>0</v>
      </c>
      <c r="N131" s="451"/>
      <c r="O131" s="353">
        <f aca="true" t="shared" si="9" ref="O131:P133">+F131+I131+L131</f>
        <v>81372.069</v>
      </c>
      <c r="P131" s="366">
        <f t="shared" si="9"/>
        <v>61239.791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86419.997</v>
      </c>
      <c r="G133" s="255">
        <f>+'Cash-Flow-2020-Leva'!G133/1000</f>
        <v>81372.069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0</v>
      </c>
      <c r="M133" s="255">
        <f>+'Cash-Flow-2020-Leva'!M133/1000</f>
        <v>0</v>
      </c>
      <c r="N133" s="451"/>
      <c r="O133" s="349">
        <f t="shared" si="9"/>
        <v>86419.997</v>
      </c>
      <c r="P133" s="372">
        <f t="shared" si="9"/>
        <v>81372.069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5047.928</v>
      </c>
      <c r="G134" s="263">
        <f>+G133-G131-G132</f>
        <v>20132.278000000006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0</v>
      </c>
      <c r="M134" s="263">
        <f>+M133-M131-M132</f>
        <v>0</v>
      </c>
      <c r="N134" s="451"/>
      <c r="O134" s="382">
        <f>+O133-O131-O132</f>
        <v>5047.928</v>
      </c>
      <c r="P134" s="383">
        <f>+P133-P131-P132</f>
        <v>20132.278000000006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5047.928</v>
      </c>
      <c r="G142" s="263">
        <f>+G134+G140</f>
        <v>20132.278000000006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0</v>
      </c>
      <c r="M142" s="525">
        <f>+M134+M140</f>
        <v>0</v>
      </c>
      <c r="N142" s="451"/>
      <c r="O142" s="536">
        <f>+O134+O140</f>
        <v>5047.928</v>
      </c>
      <c r="P142" s="537">
        <f>+P134+P140</f>
        <v>20132.278000000006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24072020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2020-07-20T10:14:44Z</dcterms:modified>
  <cp:category/>
  <cp:version/>
  <cp:contentType/>
  <cp:contentStatus/>
</cp:coreProperties>
</file>